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io.souza\Desktop\Dados Empresas\"/>
    </mc:Choice>
  </mc:AlternateContent>
  <bookViews>
    <workbookView xWindow="0" yWindow="60" windowWidth="15285" windowHeight="8820" tabRatio="822" activeTab="2"/>
  </bookViews>
  <sheets>
    <sheet name="Bacia 03" sheetId="4" r:id="rId1"/>
    <sheet name="Frota 03" sheetId="58" state="hidden" r:id="rId2"/>
    <sheet name="Resumo" sheetId="60" r:id="rId3"/>
    <sheet name="Linhas" sheetId="54" state="hidden" r:id="rId4"/>
  </sheets>
  <definedNames>
    <definedName name="_xlnm._FilterDatabase" localSheetId="0" hidden="1">'Bacia 03'!$B$1:$W$66</definedName>
    <definedName name="Linha_Metropolitanas" localSheetId="1">#REF!</definedName>
    <definedName name="Linha_Metropolitanas" localSheetId="2">#REF!</definedName>
    <definedName name="Linha_Metropolitanas">#REF!</definedName>
    <definedName name="teste">#REF!</definedName>
  </definedNames>
  <calcPr calcId="152511"/>
</workbook>
</file>

<file path=xl/calcChain.xml><?xml version="1.0" encoding="utf-8"?>
<calcChain xmlns="http://schemas.openxmlformats.org/spreadsheetml/2006/main">
  <c r="H52" i="54" l="1"/>
  <c r="G52" i="54"/>
  <c r="F52" i="54"/>
  <c r="E52" i="54"/>
  <c r="N34" i="58" l="1"/>
  <c r="N28" i="58"/>
  <c r="N26" i="58"/>
  <c r="N20" i="58"/>
  <c r="F16" i="58"/>
  <c r="F14" i="58"/>
  <c r="N12" i="58"/>
  <c r="N10" i="58"/>
  <c r="G15" i="54" l="1"/>
  <c r="G12" i="54"/>
  <c r="G7" i="54"/>
  <c r="G10" i="54" l="1"/>
  <c r="E39" i="58" l="1"/>
  <c r="F38" i="58"/>
  <c r="I38" i="58"/>
  <c r="E38" i="58"/>
  <c r="H38" i="58"/>
  <c r="E37" i="58"/>
  <c r="G38" i="58"/>
  <c r="K38" i="58" s="1"/>
  <c r="O38" i="58" s="1"/>
  <c r="H36" i="58"/>
  <c r="E35" i="58"/>
  <c r="G34" i="58"/>
  <c r="K34" i="58" s="1"/>
  <c r="F32" i="58"/>
  <c r="E30" i="58"/>
  <c r="H28" i="58"/>
  <c r="E27" i="58"/>
  <c r="F26" i="58"/>
  <c r="E24" i="58"/>
  <c r="H22" i="58"/>
  <c r="E21" i="58"/>
  <c r="G20" i="58"/>
  <c r="I18" i="58"/>
  <c r="I12" i="58"/>
  <c r="E12" i="58"/>
  <c r="I10" i="58"/>
  <c r="E10" i="58"/>
  <c r="F8" i="58"/>
  <c r="G6" i="58"/>
  <c r="E5" i="58"/>
  <c r="F4" i="58"/>
  <c r="F2" i="58"/>
  <c r="G36" i="58"/>
  <c r="F34" i="58"/>
  <c r="I32" i="58"/>
  <c r="E32" i="58"/>
  <c r="H30" i="58"/>
  <c r="E29" i="58"/>
  <c r="G28" i="58"/>
  <c r="E26" i="58"/>
  <c r="H24" i="58"/>
  <c r="E23" i="58"/>
  <c r="G22" i="58"/>
  <c r="F20" i="58"/>
  <c r="H18" i="58"/>
  <c r="H16" i="58"/>
  <c r="F13" i="58"/>
  <c r="H12" i="58"/>
  <c r="F11" i="58"/>
  <c r="H10" i="58"/>
  <c r="I8" i="58"/>
  <c r="E8" i="58"/>
  <c r="F6" i="58"/>
  <c r="E4" i="58"/>
  <c r="I2" i="58"/>
  <c r="E2" i="58"/>
  <c r="F36" i="58"/>
  <c r="E34" i="58"/>
  <c r="H32" i="58"/>
  <c r="E31" i="58"/>
  <c r="G30" i="58"/>
  <c r="F28" i="58"/>
  <c r="E25" i="58"/>
  <c r="G24" i="58"/>
  <c r="F22" i="58"/>
  <c r="E20" i="58"/>
  <c r="F18" i="58"/>
  <c r="G16" i="58"/>
  <c r="K16" i="58" s="1"/>
  <c r="H14" i="58"/>
  <c r="E13" i="58"/>
  <c r="G12" i="58"/>
  <c r="K12" i="58" s="1"/>
  <c r="E11" i="58"/>
  <c r="G10" i="58"/>
  <c r="H8" i="58"/>
  <c r="I6" i="58"/>
  <c r="E6" i="58"/>
  <c r="H4" i="58"/>
  <c r="F3" i="58"/>
  <c r="H2" i="58"/>
  <c r="I36" i="58"/>
  <c r="E36" i="58"/>
  <c r="H34" i="58"/>
  <c r="E33" i="58"/>
  <c r="G32" i="58"/>
  <c r="F30" i="58"/>
  <c r="E28" i="58"/>
  <c r="H26" i="58"/>
  <c r="F24" i="58"/>
  <c r="I22" i="58"/>
  <c r="E22" i="58"/>
  <c r="H20" i="58"/>
  <c r="E19" i="58"/>
  <c r="E18" i="58"/>
  <c r="G14" i="58"/>
  <c r="F12" i="58"/>
  <c r="F10" i="58"/>
  <c r="G8" i="58"/>
  <c r="H6" i="58"/>
  <c r="F5" i="58"/>
  <c r="G4" i="58"/>
  <c r="K4" i="58" s="1"/>
  <c r="E3" i="58"/>
  <c r="G2" i="58"/>
  <c r="I14" i="58"/>
  <c r="N38" i="58" l="1"/>
  <c r="O4" i="58"/>
  <c r="N4" i="58" s="1"/>
  <c r="G16" i="54"/>
  <c r="G13" i="54"/>
  <c r="L34" i="58"/>
  <c r="P34" i="58" s="1"/>
  <c r="R34" i="58" s="1"/>
  <c r="S34" i="58" s="1"/>
  <c r="L2" i="58"/>
  <c r="N2" i="58" s="1"/>
  <c r="I34" i="58"/>
  <c r="L12" i="58"/>
  <c r="P12" i="58" s="1"/>
  <c r="R12" i="58" s="1"/>
  <c r="S12" i="58" s="1"/>
  <c r="G18" i="58"/>
  <c r="K18" i="58" s="1"/>
  <c r="O18" i="58" s="1"/>
  <c r="N18" i="58" s="1"/>
  <c r="L24" i="58"/>
  <c r="L30" i="58"/>
  <c r="L36" i="58"/>
  <c r="P36" i="58" s="1"/>
  <c r="K36" i="58"/>
  <c r="L22" i="58"/>
  <c r="K22" i="58" s="1"/>
  <c r="O22" i="58" s="1"/>
  <c r="G5" i="54"/>
  <c r="E4" i="54"/>
  <c r="F17" i="54"/>
  <c r="E10" i="54"/>
  <c r="H19" i="54"/>
  <c r="H13" i="54"/>
  <c r="L8" i="58"/>
  <c r="K8" i="58" s="1"/>
  <c r="O8" i="58" s="1"/>
  <c r="N8" i="58" s="1"/>
  <c r="L28" i="58"/>
  <c r="K28" i="58" s="1"/>
  <c r="O28" i="58" s="1"/>
  <c r="M28" i="58"/>
  <c r="G11" i="54"/>
  <c r="G4" i="54"/>
  <c r="H21" i="54"/>
  <c r="G21" i="54" s="1"/>
  <c r="H14" i="54"/>
  <c r="E17" i="54"/>
  <c r="E7" i="54"/>
  <c r="E16" i="54"/>
  <c r="G14" i="54"/>
  <c r="L20" i="58"/>
  <c r="K20" i="58" s="1"/>
  <c r="O20" i="58" s="1"/>
  <c r="G26" i="58"/>
  <c r="L26" i="58" s="1"/>
  <c r="L4" i="58"/>
  <c r="L14" i="58"/>
  <c r="K14" i="58" s="1"/>
  <c r="O14" i="58" s="1"/>
  <c r="L32" i="58"/>
  <c r="L10" i="58"/>
  <c r="I24" i="58"/>
  <c r="L38" i="58"/>
  <c r="P38" i="58" s="1"/>
  <c r="E6" i="54"/>
  <c r="H5" i="54"/>
  <c r="G18" i="54"/>
  <c r="H11" i="54"/>
  <c r="G6" i="54"/>
  <c r="G17" i="54"/>
  <c r="L6" i="58"/>
  <c r="K6" i="58" s="1"/>
  <c r="O6" i="58" s="1"/>
  <c r="N6" i="58" s="1"/>
  <c r="L16" i="58"/>
  <c r="G9" i="54"/>
  <c r="N14" i="58"/>
  <c r="P8" i="58"/>
  <c r="R8" i="58" s="1"/>
  <c r="S8" i="58" s="1"/>
  <c r="P14" i="58"/>
  <c r="R14" i="58" s="1"/>
  <c r="P22" i="58"/>
  <c r="R22" i="58" s="1"/>
  <c r="S22" i="58" s="1"/>
  <c r="N30" i="58"/>
  <c r="N22" i="58"/>
  <c r="R38" i="58"/>
  <c r="R36" i="58"/>
  <c r="S38" i="58" l="1"/>
  <c r="S14" i="58"/>
  <c r="M36" i="58"/>
  <c r="P6" i="58"/>
  <c r="R6" i="58" s="1"/>
  <c r="S6" i="58" s="1"/>
  <c r="M6" i="58"/>
  <c r="Q6" i="58" s="1"/>
  <c r="T6" i="58" s="1"/>
  <c r="U6" i="58" s="1"/>
  <c r="E12" i="54"/>
  <c r="L18" i="58"/>
  <c r="M18" i="58" s="1"/>
  <c r="Q18" i="58" s="1"/>
  <c r="T18" i="58" s="1"/>
  <c r="U18" i="58" s="1"/>
  <c r="E15" i="54"/>
  <c r="M8" i="58"/>
  <c r="Q8" i="58" s="1"/>
  <c r="T8" i="58" s="1"/>
  <c r="U8" i="58" s="1"/>
  <c r="E20" i="54"/>
  <c r="M20" i="58"/>
  <c r="M22" i="58"/>
  <c r="Q22" i="58" s="1"/>
  <c r="T22" i="58" s="1"/>
  <c r="U22" i="58" s="1"/>
  <c r="M2" i="58"/>
  <c r="H6" i="54"/>
  <c r="G19" i="54"/>
  <c r="E14" i="54"/>
  <c r="M34" i="58"/>
  <c r="F19" i="54"/>
  <c r="K32" i="58"/>
  <c r="P32" i="58"/>
  <c r="R32" i="58" s="1"/>
  <c r="M32" i="58"/>
  <c r="K30" i="58"/>
  <c r="M30" i="58"/>
  <c r="M16" i="58"/>
  <c r="M4" i="58"/>
  <c r="H9" i="54"/>
  <c r="K10" i="58"/>
  <c r="M10" i="58"/>
  <c r="E18" i="54"/>
  <c r="G8" i="54"/>
  <c r="E19" i="54"/>
  <c r="P18" i="58"/>
  <c r="R18" i="58" s="1"/>
  <c r="S18" i="58" s="1"/>
  <c r="K26" i="58"/>
  <c r="M26" i="58"/>
  <c r="E3" i="54"/>
  <c r="F5" i="54"/>
  <c r="F14" i="54"/>
  <c r="K24" i="58"/>
  <c r="P24" i="58"/>
  <c r="R24" i="58" s="1"/>
  <c r="M12" i="58"/>
  <c r="F16" i="54"/>
  <c r="F10" i="54"/>
  <c r="F11" i="54"/>
  <c r="F15" i="54"/>
  <c r="M38" i="58"/>
  <c r="Q38" i="58" s="1"/>
  <c r="T38" i="58" s="1"/>
  <c r="U38" i="58" s="1"/>
  <c r="M14" i="58"/>
  <c r="Q14" i="58" s="1"/>
  <c r="T14" i="58" s="1"/>
  <c r="U14" i="58" s="1"/>
  <c r="F13" i="54"/>
  <c r="O36" i="58"/>
  <c r="N36" i="58" s="1"/>
  <c r="S36" i="58" s="1"/>
  <c r="Q36" i="58"/>
  <c r="T36" i="58" s="1"/>
  <c r="U36" i="58" s="1"/>
  <c r="M24" i="58"/>
  <c r="K2" i="58"/>
  <c r="Q2" i="58" s="1"/>
  <c r="P2" i="58"/>
  <c r="E21" i="54"/>
  <c r="H7" i="54"/>
  <c r="F9" i="54"/>
  <c r="Q10" i="58" l="1"/>
  <c r="T10" i="58" s="1"/>
  <c r="Q34" i="58"/>
  <c r="T34" i="58" s="1"/>
  <c r="O34" i="58"/>
  <c r="E5" i="54"/>
  <c r="F7" i="54"/>
  <c r="R2" i="58"/>
  <c r="O24" i="58"/>
  <c r="N24" i="58" s="1"/>
  <c r="S24" i="58" s="1"/>
  <c r="Q24" i="58"/>
  <c r="T24" i="58" s="1"/>
  <c r="E8" i="54"/>
  <c r="E9" i="54"/>
  <c r="E11" i="54"/>
  <c r="O26" i="58"/>
  <c r="H18" i="54"/>
  <c r="O10" i="58"/>
  <c r="O30" i="58"/>
  <c r="T2" i="58"/>
  <c r="H3" i="54"/>
  <c r="F21" i="54"/>
  <c r="O2" i="58"/>
  <c r="P10" i="58"/>
  <c r="R10" i="58" s="1"/>
  <c r="S10" i="58" s="1"/>
  <c r="H20" i="54"/>
  <c r="E13" i="54"/>
  <c r="F12" i="54"/>
  <c r="G20" i="54"/>
  <c r="F4" i="54"/>
  <c r="G3" i="54"/>
  <c r="Q12" i="58"/>
  <c r="T12" i="58" s="1"/>
  <c r="O12" i="58"/>
  <c r="F20" i="54"/>
  <c r="O32" i="58"/>
  <c r="N32" i="58" s="1"/>
  <c r="S32" i="58" s="1"/>
  <c r="Q32" i="58"/>
  <c r="T32" i="58" s="1"/>
  <c r="U32" i="58" s="1"/>
  <c r="F6" i="54"/>
  <c r="U10" i="58" l="1"/>
  <c r="U12" i="58"/>
  <c r="U24" i="58"/>
  <c r="E22" i="54"/>
  <c r="U34" i="58"/>
  <c r="U2" i="58"/>
  <c r="F18" i="54"/>
  <c r="F3" i="54"/>
  <c r="G22" i="54"/>
  <c r="S2" i="58"/>
  <c r="F8" i="54"/>
  <c r="H8" i="54" l="1"/>
  <c r="F22" i="54"/>
  <c r="H17" i="54" l="1"/>
  <c r="O16" i="58"/>
  <c r="O40" i="58" s="1"/>
  <c r="N16" i="58"/>
  <c r="N40" i="58" s="1"/>
  <c r="N43" i="58" s="1"/>
  <c r="N44" i="58" s="1"/>
  <c r="H12" i="54"/>
  <c r="H16" i="54"/>
  <c r="Q4" i="58"/>
  <c r="T4" i="58" s="1"/>
  <c r="Q16" i="58"/>
  <c r="T16" i="58" s="1"/>
  <c r="Q20" i="58"/>
  <c r="T20" i="58"/>
  <c r="U20" i="58" s="1"/>
  <c r="Q26" i="58"/>
  <c r="T26" i="58" s="1"/>
  <c r="U26" i="58" s="1"/>
  <c r="Q28" i="58"/>
  <c r="T28" i="58" s="1"/>
  <c r="U28" i="58" s="1"/>
  <c r="Q30" i="58"/>
  <c r="T30" i="58" s="1"/>
  <c r="U30" i="58" s="1"/>
  <c r="P30" i="58"/>
  <c r="R30" i="58" s="1"/>
  <c r="S30" i="58" s="1"/>
  <c r="P28" i="58"/>
  <c r="R28" i="58" s="1"/>
  <c r="S28" i="58" s="1"/>
  <c r="P26" i="58"/>
  <c r="R26" i="58" s="1"/>
  <c r="S26" i="58" s="1"/>
  <c r="P16" i="58"/>
  <c r="R16" i="58" s="1"/>
  <c r="P4" i="58"/>
  <c r="R4" i="58" s="1"/>
  <c r="S4" i="58" s="1"/>
  <c r="P20" i="58"/>
  <c r="R20" i="58" s="1"/>
  <c r="S20" i="58" s="1"/>
  <c r="I16" i="58"/>
  <c r="I30" i="58"/>
  <c r="I20" i="58"/>
  <c r="S16" i="58" l="1"/>
  <c r="U16" i="58"/>
  <c r="I26" i="58"/>
  <c r="I28" i="58"/>
  <c r="T40" i="58"/>
  <c r="U40" i="58" s="1"/>
  <c r="U4" i="58"/>
  <c r="H10" i="54"/>
  <c r="H4" i="54"/>
  <c r="Q40" i="58"/>
  <c r="I4" i="58"/>
  <c r="P40" i="58"/>
  <c r="H15" i="54"/>
  <c r="R40" i="58"/>
  <c r="S40" i="58" s="1"/>
  <c r="H22" i="54" l="1"/>
</calcChain>
</file>

<file path=xl/sharedStrings.xml><?xml version="1.0" encoding="utf-8"?>
<sst xmlns="http://schemas.openxmlformats.org/spreadsheetml/2006/main" count="354" uniqueCount="131">
  <si>
    <t>Route_ID</t>
  </si>
  <si>
    <t>Extensão</t>
  </si>
  <si>
    <t>Tempo de Viagem</t>
  </si>
  <si>
    <t>Código</t>
  </si>
  <si>
    <t>Nome</t>
  </si>
  <si>
    <t>Sentido</t>
  </si>
  <si>
    <t>Ida</t>
  </si>
  <si>
    <t>Volta</t>
  </si>
  <si>
    <t>Relação Pico Manhã/Dia</t>
  </si>
  <si>
    <t>Demanda Diária</t>
  </si>
  <si>
    <t>Demanda Diária Modelada</t>
  </si>
  <si>
    <t>Demanda Pico Manhã</t>
  </si>
  <si>
    <t>Demanda Diária Ajustada</t>
  </si>
  <si>
    <t>Qtd. Viagens Dia Sábado</t>
  </si>
  <si>
    <t>Qtd. Viagens Dia Domingo</t>
  </si>
  <si>
    <t>Qtd. Viagens EP Dia Útil</t>
  </si>
  <si>
    <t>Qtd. Viagens Pico Dia Útil</t>
  </si>
  <si>
    <t>Qtd. Viagem Dia útil</t>
  </si>
  <si>
    <t>Carregamento Máximo Entrepico Ajustado</t>
  </si>
  <si>
    <t>Qtd. de Viagens por semana</t>
  </si>
  <si>
    <t>Carregamento Máximo Pico do dia</t>
  </si>
  <si>
    <t>Embarques no pico (C01)</t>
  </si>
  <si>
    <t>Carregamento_Max Pico (C01)</t>
  </si>
  <si>
    <t>Maranguape - Maracanau</t>
  </si>
  <si>
    <t>Maranguape - Vila Pery</t>
  </si>
  <si>
    <t>Itacima - Maracanau</t>
  </si>
  <si>
    <t>Sapupara - Maracanau</t>
  </si>
  <si>
    <t>Maranguape - Mirambe</t>
  </si>
  <si>
    <t>Ceasa - Barra do Ceara</t>
  </si>
  <si>
    <t>Conjunto Carlos Jereissati 1</t>
  </si>
  <si>
    <t>Conjunto Carlos Jereissati 2</t>
  </si>
  <si>
    <t>Água Verde - Mondubim</t>
  </si>
  <si>
    <t>Pacatuba - Maracanau</t>
  </si>
  <si>
    <t>Taquara - Alto Alegre</t>
  </si>
  <si>
    <t>Maranguape - Ceasa (Circular 1)</t>
  </si>
  <si>
    <t>Maranguape - Ceasa (Circular 2)</t>
  </si>
  <si>
    <t>Itapebussu - Maracanau</t>
  </si>
  <si>
    <t>Cj. Industrial - Mondubim</t>
  </si>
  <si>
    <t>Guaiuba - Mondubim</t>
  </si>
  <si>
    <t>Jubaia - Maracanau</t>
  </si>
  <si>
    <t>Itaitinga - Aracapé</t>
  </si>
  <si>
    <t>Maracanaú - Messejana</t>
  </si>
  <si>
    <t>Frota Ônibus</t>
  </si>
  <si>
    <t>Frota Van</t>
  </si>
  <si>
    <t>Nome2</t>
  </si>
  <si>
    <t>Frequência fora pico</t>
  </si>
  <si>
    <t>Frequência Pico Ônibus</t>
  </si>
  <si>
    <t>Frequência Pico Van</t>
  </si>
  <si>
    <t>Frequência Pico</t>
  </si>
  <si>
    <t>Tempo percurso por sentido</t>
  </si>
  <si>
    <t>Frequencia Semanal Ônibus</t>
  </si>
  <si>
    <t>Frequencia Semanal Van</t>
  </si>
  <si>
    <t>Código Antigo</t>
  </si>
  <si>
    <t>Nome Antigo</t>
  </si>
  <si>
    <t>Novo Código</t>
  </si>
  <si>
    <t>Novo Nome</t>
  </si>
  <si>
    <t>Frota Bus</t>
  </si>
  <si>
    <t>Frequencia Semanal</t>
  </si>
  <si>
    <t>Água Verde / Mondubim</t>
  </si>
  <si>
    <t>Ceasa / Barra do Ceara</t>
  </si>
  <si>
    <t>Itacima / Maracanau</t>
  </si>
  <si>
    <t>Itapebussu / Maracanau</t>
  </si>
  <si>
    <t>Maranguape / Ceasa (Circular 1)</t>
  </si>
  <si>
    <t>Maranguape / Ceasa (Circular 2)</t>
  </si>
  <si>
    <t>Maranguape / Maracanau</t>
  </si>
  <si>
    <t>Maranguape / Mirambe</t>
  </si>
  <si>
    <t>Maranguape / Vila Pery</t>
  </si>
  <si>
    <t>Pacatuba / Maracanau</t>
  </si>
  <si>
    <t>Sapupara / Maracanau</t>
  </si>
  <si>
    <t>Taquara / Alto Alegre</t>
  </si>
  <si>
    <t>Cj. Industrial / Mondubim</t>
  </si>
  <si>
    <t>Guaiuba / Mondubim</t>
  </si>
  <si>
    <t>Jubaia / Maracanau</t>
  </si>
  <si>
    <t>Itaitinga / Aracapé</t>
  </si>
  <si>
    <t>Maracanaú / Messejana</t>
  </si>
  <si>
    <t>Linha</t>
  </si>
  <si>
    <t>-</t>
  </si>
  <si>
    <t>TOTAL</t>
  </si>
  <si>
    <t>Qtd. Viagens Pico Dia Útil Ajustada</t>
  </si>
  <si>
    <t>Qtd. Viagens EP Dia Útil Ajustada</t>
  </si>
  <si>
    <t>Parâmetros</t>
  </si>
  <si>
    <t>Ocupação Ônibus Pico</t>
  </si>
  <si>
    <t>Ocupação Ônibus Fora Pico</t>
  </si>
  <si>
    <t>Ocupação Vans Pico</t>
  </si>
  <si>
    <t>Ocupação Van Fora Pico</t>
  </si>
  <si>
    <t>Km Anual Total Ônibus</t>
  </si>
  <si>
    <t>PMA Ônibus</t>
  </si>
  <si>
    <t>Km Anual Total Van</t>
  </si>
  <si>
    <t>PMA Van</t>
  </si>
  <si>
    <t>Frequência fora pico Ônibus</t>
  </si>
  <si>
    <t>Frequência fora pico Van</t>
  </si>
  <si>
    <t>Capacidade ônibus/van</t>
  </si>
  <si>
    <t>Denominação da linha</t>
  </si>
  <si>
    <t>Água Verde - Mondubim Ida</t>
  </si>
  <si>
    <t>Água Verde - Mondubim Volta</t>
  </si>
  <si>
    <t>Ceasa - Barra do Ceara Ida</t>
  </si>
  <si>
    <t>Ceasa - Barra do Ceara Volta</t>
  </si>
  <si>
    <t>Conjunto Carlos Jereissati 1 Ida</t>
  </si>
  <si>
    <t>Conjunto Carlos Jereissati 1 Volta</t>
  </si>
  <si>
    <t>Conjunto Carlos Jereissati 2 Ida</t>
  </si>
  <si>
    <t>Conjunto Carlos Jereissati 2 Volta</t>
  </si>
  <si>
    <t>Itacima - Maracanau Ida</t>
  </si>
  <si>
    <t>Itacima - Maracanau Volta</t>
  </si>
  <si>
    <t>Itapebussu - Maracanau Ida</t>
  </si>
  <si>
    <t>Itapebussu - Maracanau Volta</t>
  </si>
  <si>
    <t>Maranguape - Ceasa (Circular 1) Ida</t>
  </si>
  <si>
    <t>Maranguape - Ceasa (Circular 1) Volta</t>
  </si>
  <si>
    <t>Maranguape - Ceasa (Circular 2) Ida</t>
  </si>
  <si>
    <t>Maranguape - Ceasa (Circular 2) Volta</t>
  </si>
  <si>
    <t>Maranguape - Maracanau Ida</t>
  </si>
  <si>
    <t>Maranguape - Maracanau Volta</t>
  </si>
  <si>
    <t>Maranguape - Mirambe Ida</t>
  </si>
  <si>
    <t>Maranguape - Mirambe Volta</t>
  </si>
  <si>
    <t>Maranguape - Vila Pery Ida</t>
  </si>
  <si>
    <t>Maranguape - Vila Pery Volta</t>
  </si>
  <si>
    <t>Pacatuba - Maracanau Ida</t>
  </si>
  <si>
    <t>Pacatuba - Maracanau Volta</t>
  </si>
  <si>
    <t>Sapupara - Maracanau Ida</t>
  </si>
  <si>
    <t>Sapupara - Maracanau Volta</t>
  </si>
  <si>
    <t>Taquara - Alto Alegre Ida</t>
  </si>
  <si>
    <t>Taquara - Alto Alegre Volta</t>
  </si>
  <si>
    <t>Cj. Industrial - Mondubim Ida</t>
  </si>
  <si>
    <t>Cj. Industrial - Mondubim Volta</t>
  </si>
  <si>
    <t>Guaiuba - Mondubim Ida</t>
  </si>
  <si>
    <t>Guaiuba - Mondubim Volta</t>
  </si>
  <si>
    <t>Jubaia - Maracanau Ida</t>
  </si>
  <si>
    <t>Jubaia - Maracanau Volta</t>
  </si>
  <si>
    <t>Itaitinga - Aracapé Ida</t>
  </si>
  <si>
    <t>Itaitinga - Aracapé Volta</t>
  </si>
  <si>
    <t>Maracanaú - Messejana Ida</t>
  </si>
  <si>
    <t>Maracanaú - Messejana Volta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</si>
</sst>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"/>
    <numFmt numFmtId="166" formatCode="_-* #,##0_-;\-* #,##0_-;_-* &quot;-&quot;??_-;_-@_-"/>
  </numFmts>
  <fonts count="21" x14ac:knownFonts="1">
    <font>
      <sz val="10"/>
      <name val="MS Sans Serif"/>
    </font>
    <font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11"/>
      <name val="MS Sans Serif"/>
      <family val="2"/>
    </font>
    <font>
      <b/>
      <sz val="10"/>
      <color theme="0"/>
      <name val="MS Sans Serif"/>
      <family val="2"/>
    </font>
    <font>
      <b/>
      <sz val="10"/>
      <color theme="5" tint="-0.249977111117893"/>
      <name val="MS Sans Serif"/>
      <family val="2"/>
    </font>
    <font>
      <sz val="10"/>
      <color theme="6" tint="-0.499984740745262"/>
      <name val="MS Sans Serif"/>
      <family val="2"/>
    </font>
    <font>
      <b/>
      <sz val="10"/>
      <color theme="1"/>
      <name val="MS Sans Serif"/>
      <family val="2"/>
    </font>
    <font>
      <sz val="10"/>
      <color theme="1"/>
      <name val="MS Sans Serif"/>
      <family val="2"/>
    </font>
    <font>
      <b/>
      <sz val="10"/>
      <color theme="2"/>
      <name val="MS Sans Serif"/>
      <family val="2"/>
    </font>
    <font>
      <b/>
      <sz val="10"/>
      <color rgb="FFC00000"/>
      <name val="MS Sans Serif"/>
      <family val="2"/>
    </font>
    <font>
      <b/>
      <sz val="10"/>
      <color theme="6" tint="-0.499984740745262"/>
      <name val="MS Sans Serif"/>
      <family val="2"/>
    </font>
    <font>
      <b/>
      <sz val="10"/>
      <color rgb="FFC00000"/>
      <name val="MS Sans Serif"/>
      <family val="2"/>
    </font>
    <font>
      <b/>
      <sz val="10"/>
      <color theme="0"/>
      <name val="MS Sans Serif"/>
      <family val="2"/>
    </font>
    <font>
      <b/>
      <sz val="10"/>
      <color theme="0"/>
      <name val="MS Sans Serif"/>
      <family val="2"/>
    </font>
    <font>
      <sz val="10"/>
      <color theme="1"/>
      <name val="MS Sans Serif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26">
    <xf numFmtId="0" fontId="0" fillId="0" borderId="0" xfId="0"/>
    <xf numFmtId="9" fontId="0" fillId="0" borderId="0" xfId="1" applyFont="1"/>
    <xf numFmtId="1" fontId="0" fillId="0" borderId="0" xfId="1" applyNumberFormat="1" applyFont="1"/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2" xfId="0" quotePrefix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8" fillId="0" borderId="3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" fontId="9" fillId="0" borderId="0" xfId="1" applyNumberFormat="1" applyFont="1"/>
    <xf numFmtId="1" fontId="10" fillId="0" borderId="3" xfId="1" applyNumberFormat="1" applyFont="1" applyFill="1" applyBorder="1" applyAlignment="1">
      <alignment horizontal="center"/>
    </xf>
    <xf numFmtId="1" fontId="8" fillId="0" borderId="4" xfId="1" applyNumberFormat="1" applyFont="1" applyFill="1" applyBorder="1" applyAlignment="1">
      <alignment horizontal="center"/>
    </xf>
    <xf numFmtId="1" fontId="0" fillId="0" borderId="0" xfId="0" applyNumberFormat="1"/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9" fontId="8" fillId="0" borderId="0" xfId="1" applyNumberFormat="1" applyFont="1" applyFill="1" applyAlignment="1">
      <alignment horizontal="center"/>
    </xf>
    <xf numFmtId="1" fontId="8" fillId="0" borderId="0" xfId="1" applyNumberFormat="1" applyFont="1" applyFill="1" applyAlignment="1">
      <alignment horizontal="center"/>
    </xf>
    <xf numFmtId="1" fontId="10" fillId="0" borderId="0" xfId="1" applyNumberFormat="1" applyFont="1" applyFill="1" applyAlignment="1">
      <alignment horizontal="center"/>
    </xf>
    <xf numFmtId="1" fontId="4" fillId="0" borderId="5" xfId="1" applyNumberFormat="1" applyFont="1" applyBorder="1" applyAlignment="1">
      <alignment horizontal="center"/>
    </xf>
    <xf numFmtId="1" fontId="4" fillId="0" borderId="3" xfId="1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NumberFormat="1"/>
    <xf numFmtId="1" fontId="2" fillId="0" borderId="5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" fontId="8" fillId="0" borderId="0" xfId="1" applyNumberFormat="1" applyFont="1" applyFill="1" applyBorder="1" applyAlignment="1">
      <alignment horizontal="center"/>
    </xf>
    <xf numFmtId="0" fontId="11" fillId="0" borderId="6" xfId="0" quotePrefix="1" applyNumberFormat="1" applyFont="1" applyFill="1" applyBorder="1" applyAlignment="1">
      <alignment horizontal="center"/>
    </xf>
    <xf numFmtId="0" fontId="11" fillId="0" borderId="3" xfId="0" applyNumberFormat="1" applyFont="1" applyFill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9" fontId="8" fillId="0" borderId="0" xfId="1" applyNumberFormat="1" applyFont="1" applyFill="1" applyAlignment="1">
      <alignment horizontal="center"/>
    </xf>
    <xf numFmtId="1" fontId="8" fillId="0" borderId="3" xfId="1" applyNumberFormat="1" applyFont="1" applyFill="1" applyBorder="1" applyAlignment="1">
      <alignment horizontal="center"/>
    </xf>
    <xf numFmtId="1" fontId="8" fillId="0" borderId="0" xfId="1" applyNumberFormat="1" applyFont="1" applyFill="1" applyAlignment="1">
      <alignment horizontal="center"/>
    </xf>
    <xf numFmtId="0" fontId="11" fillId="0" borderId="3" xfId="0" quotePrefix="1" applyNumberFormat="1" applyFont="1" applyFill="1" applyBorder="1" applyAlignment="1">
      <alignment horizontal="left"/>
    </xf>
    <xf numFmtId="0" fontId="0" fillId="0" borderId="0" xfId="0" quotePrefix="1" applyNumberFormat="1" applyAlignment="1">
      <alignment horizontal="left"/>
    </xf>
    <xf numFmtId="1" fontId="0" fillId="0" borderId="0" xfId="0" quotePrefix="1" applyNumberFormat="1" applyAlignment="1">
      <alignment horizont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1" fillId="0" borderId="3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1" fillId="0" borderId="6" xfId="0" quotePrefix="1" applyNumberFormat="1" applyFont="1" applyFill="1" applyBorder="1" applyAlignment="1">
      <alignment horizontal="center"/>
    </xf>
    <xf numFmtId="1" fontId="1" fillId="0" borderId="5" xfId="1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1" fillId="0" borderId="6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11" fillId="0" borderId="0" xfId="0" quotePrefix="1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1" fontId="7" fillId="4" borderId="2" xfId="0" applyNumberFormat="1" applyFont="1" applyFill="1" applyBorder="1" applyAlignment="1">
      <alignment horizontal="center" vertical="center" wrapText="1"/>
    </xf>
    <xf numFmtId="1" fontId="14" fillId="0" borderId="0" xfId="1" applyNumberFormat="1" applyFont="1" applyFill="1" applyAlignment="1">
      <alignment horizontal="center"/>
    </xf>
    <xf numFmtId="1" fontId="14" fillId="0" borderId="0" xfId="1" applyNumberFormat="1" applyFont="1" applyFill="1" applyBorder="1" applyAlignment="1">
      <alignment horizontal="center"/>
    </xf>
    <xf numFmtId="1" fontId="14" fillId="0" borderId="3" xfId="1" applyNumberFormat="1" applyFont="1" applyFill="1" applyBorder="1" applyAlignment="1">
      <alignment horizontal="center"/>
    </xf>
    <xf numFmtId="1" fontId="14" fillId="0" borderId="0" xfId="1" applyNumberFormat="1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2" fillId="4" borderId="3" xfId="0" quotePrefix="1" applyNumberFormat="1" applyFont="1" applyFill="1" applyBorder="1" applyAlignment="1">
      <alignment horizontal="center" vertical="center" wrapText="1"/>
    </xf>
    <xf numFmtId="0" fontId="12" fillId="4" borderId="3" xfId="0" applyNumberFormat="1" applyFont="1" applyFill="1" applyBorder="1" applyAlignment="1">
      <alignment horizontal="center" vertical="center" wrapText="1"/>
    </xf>
    <xf numFmtId="0" fontId="12" fillId="4" borderId="6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4" fillId="0" borderId="6" xfId="0" applyFon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0" fillId="0" borderId="0" xfId="0" quotePrefix="1" applyNumberFormat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3" fontId="16" fillId="5" borderId="4" xfId="0" applyNumberFormat="1" applyFont="1" applyFill="1" applyBorder="1" applyAlignment="1">
      <alignment horizontal="center"/>
    </xf>
    <xf numFmtId="1" fontId="17" fillId="0" borderId="4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4" xfId="0" applyNumberFormat="1" applyFont="1" applyFill="1" applyBorder="1" applyAlignment="1">
      <alignment horizontal="center"/>
    </xf>
    <xf numFmtId="0" fontId="17" fillId="0" borderId="7" xfId="0" applyNumberFormat="1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9" fontId="17" fillId="0" borderId="0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1" fontId="17" fillId="0" borderId="8" xfId="0" applyNumberFormat="1" applyFont="1" applyFill="1" applyBorder="1" applyAlignment="1">
      <alignment horizontal="center"/>
    </xf>
    <xf numFmtId="2" fontId="0" fillId="0" borderId="0" xfId="0" applyNumberFormat="1"/>
    <xf numFmtId="43" fontId="0" fillId="0" borderId="0" xfId="2" applyFont="1" applyAlignment="1">
      <alignment horizontal="center"/>
    </xf>
    <xf numFmtId="0" fontId="0" fillId="0" borderId="13" xfId="0" applyBorder="1"/>
    <xf numFmtId="166" fontId="0" fillId="0" borderId="13" xfId="2" applyNumberFormat="1" applyFont="1" applyBorder="1" applyAlignment="1">
      <alignment horizontal="center"/>
    </xf>
    <xf numFmtId="166" fontId="0" fillId="0" borderId="13" xfId="0" applyNumberFormat="1" applyBorder="1"/>
    <xf numFmtId="0" fontId="20" fillId="6" borderId="14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1" fillId="0" borderId="17" xfId="0" quotePrefix="1" applyNumberFormat="1" applyFont="1" applyFill="1" applyBorder="1" applyAlignment="1">
      <alignment horizontal="left"/>
    </xf>
    <xf numFmtId="166" fontId="0" fillId="0" borderId="18" xfId="0" applyNumberFormat="1" applyBorder="1"/>
    <xf numFmtId="0" fontId="3" fillId="0" borderId="19" xfId="0" applyFont="1" applyBorder="1"/>
    <xf numFmtId="0" fontId="3" fillId="0" borderId="20" xfId="0" applyFont="1" applyBorder="1"/>
    <xf numFmtId="166" fontId="3" fillId="0" borderId="20" xfId="2" applyNumberFormat="1" applyFont="1" applyBorder="1"/>
    <xf numFmtId="166" fontId="3" fillId="0" borderId="20" xfId="0" applyNumberFormat="1" applyFont="1" applyBorder="1"/>
    <xf numFmtId="166" fontId="3" fillId="0" borderId="21" xfId="0" applyNumberFormat="1" applyFont="1" applyBorder="1"/>
  </cellXfs>
  <cellStyles count="3">
    <cellStyle name="Normal" xfId="0" builtinId="0"/>
    <cellStyle name="Porcentagem" xfId="1" builtinId="5"/>
    <cellStyle name="Vírgula" xfId="2" builtinId="3"/>
  </cellStyles>
  <dxfs count="10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color rgb="FFC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3" formatCode="#,##0"/>
      <fill>
        <patternFill patternType="solid">
          <fgColor indexed="64"/>
          <bgColor theme="4" tint="-0.249977111117893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3" formatCode="#,##0"/>
      <fill>
        <patternFill patternType="solid">
          <fgColor indexed="64"/>
          <bgColor theme="4" tint="-0.249977111117893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3" formatCode="#,##0"/>
      <fill>
        <patternFill patternType="solid">
          <fgColor indexed="64"/>
          <bgColor theme="4" tint="-0.249977111117893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3" formatCode="#,##0"/>
      <fill>
        <patternFill patternType="solid">
          <fgColor indexed="64"/>
          <bgColor theme="4" tint="-0.249977111117893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499984740745262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499984740745262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relative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2"/>
        <name val="MS Sans Serif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499984740745262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499984740745262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S Sans Serif"/>
        <scheme val="none"/>
      </font>
      <numFmt numFmtId="1" formatCode="0"/>
      <alignment horizontal="center" vertical="bottom" textRotation="0" wrapText="0" relative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numFmt numFmtId="0" formatCode="General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S Sans 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border outline="0">
        <left style="thin">
          <color theme="0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249977111117893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S Sans Serif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3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9" defaultPivotStyle="PivotStyleLight16">
    <tableStyle name="Estilo de Tabela 1" pivot="0" count="3">
      <tableStyleElement type="wholeTable" dxfId="105"/>
      <tableStyleElement type="firstRowStripe" size="2" dxfId="104"/>
      <tableStyleElement type="secondRowStripe" size="2" dxfId="10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ela2" displayName="Tabela2" ref="A1:X40" totalsRowCount="1" headerRowDxfId="102" dataDxfId="100" headerRowBorderDxfId="101" tableBorderDxfId="99">
  <autoFilter ref="A1:X39"/>
  <sortState ref="A2:AO29">
    <sortCondition ref="C1:C29"/>
  </sortState>
  <tableColumns count="24">
    <tableColumn id="32" name="Route_ID" dataDxfId="98" totalsRowDxfId="97"/>
    <tableColumn id="1" name="Código" dataDxfId="96" totalsRowDxfId="95"/>
    <tableColumn id="2" name="Nome" dataDxfId="94" totalsRowDxfId="93"/>
    <tableColumn id="3" name="Sentido" dataDxfId="92" totalsRowDxfId="91"/>
    <tableColumn id="48" name="Nome2" dataDxfId="90" totalsRowDxfId="89"/>
    <tableColumn id="45" name="Extensão" dataDxfId="88" totalsRowDxfId="87"/>
    <tableColumn id="44" name="Tempo de Viagem" dataDxfId="86" totalsRowDxfId="85"/>
    <tableColumn id="8" name="Embarques no pico (C01)" totalsRowFunction="sum" dataDxfId="84" totalsRowDxfId="83"/>
    <tableColumn id="9" name="Carregamento_Max Pico (C01)" totalsRowFunction="sum" dataDxfId="82" totalsRowDxfId="81"/>
    <tableColumn id="14" name="Demanda Pico Manhã" dataDxfId="80" totalsRowDxfId="79"/>
    <tableColumn id="15" name="Demanda Diária" dataDxfId="78" totalsRowDxfId="77" dataCellStyle="Porcentagem"/>
    <tableColumn id="16" name="Relação Pico Manhã/Dia" dataDxfId="76" totalsRowDxfId="75" dataCellStyle="Porcentagem"/>
    <tableColumn id="17" name="Demanda Diária Modelada" dataDxfId="74" totalsRowDxfId="73" dataCellStyle="Porcentagem"/>
    <tableColumn id="18" name="Demanda Diária Ajustada" totalsRowFunction="sum" dataDxfId="72" totalsRowDxfId="71" dataCellStyle="Porcentagem"/>
    <tableColumn id="19" name="Carregamento Máximo Pico do dia" dataDxfId="70" totalsRowDxfId="69" dataCellStyle="Porcentagem"/>
    <tableColumn id="20" name="Carregamento Máximo Entrepico Ajustado" dataDxfId="68" totalsRowDxfId="67" dataCellStyle="Porcentagem"/>
    <tableColumn id="21" name="Qtd. Viagens Pico Dia Útil" dataDxfId="66" totalsRowDxfId="65" dataCellStyle="Porcentagem"/>
    <tableColumn id="22" name="Qtd. Viagens EP Dia Útil" dataDxfId="64" totalsRowDxfId="63" dataCellStyle="Porcentagem"/>
    <tableColumn id="5" name="Qtd. Viagens Pico Dia Útil Ajustada" dataDxfId="62" totalsRowDxfId="61" dataCellStyle="Porcentagem"/>
    <tableColumn id="4" name="Qtd. Viagens EP Dia Útil Ajustada" dataDxfId="60" totalsRowDxfId="59" dataCellStyle="Porcentagem"/>
    <tableColumn id="23" name="Qtd. Viagem Dia útil" dataDxfId="58" totalsRowDxfId="57" dataCellStyle="Porcentagem"/>
    <tableColumn id="24" name="Qtd. Viagens Dia Sábado" dataDxfId="56" totalsRowDxfId="55" dataCellStyle="Porcentagem"/>
    <tableColumn id="25" name="Qtd. Viagens Dia Domingo" dataDxfId="54" totalsRowDxfId="53" dataCellStyle="Porcentagem"/>
    <tableColumn id="26" name="Qtd. de Viagens por semana" dataDxfId="52" totalsRowDxfId="51" dataCellStyle="Porcentagem"/>
  </tableColumns>
  <tableStyleInfo name="Estilo de Tabela 1" showFirstColumn="0" showLastColumn="0" showRowStripes="1" showColumnStripes="0"/>
</table>
</file>

<file path=xl/tables/table2.xml><?xml version="1.0" encoding="utf-8"?>
<table xmlns="http://schemas.openxmlformats.org/spreadsheetml/2006/main" id="3" name="Tabela824" displayName="Tabela824" ref="A1:U40" totalsRowCount="1" headerRowDxfId="50" dataDxfId="48" headerRowBorderDxfId="49">
  <autoFilter ref="A1:U39"/>
  <tableColumns count="21">
    <tableColumn id="1" name="Route_ID" dataDxfId="47" totalsRowDxfId="46"/>
    <tableColumn id="2" name="Código" dataDxfId="45" totalsRowDxfId="44"/>
    <tableColumn id="3" name="Nome" dataDxfId="43" totalsRowDxfId="42"/>
    <tableColumn id="4" name="Sentido" dataDxfId="41" totalsRowDxfId="40"/>
    <tableColumn id="14" name="Extensão" dataDxfId="39" totalsRowDxfId="38">
      <calculatedColumnFormula>VLOOKUP(C2&amp;" "&amp;D2,'Bacia 03'!E:Q,2,0)</calculatedColumnFormula>
    </tableColumn>
    <tableColumn id="5" name="Tempo percurso por sentido" dataDxfId="37" totalsRowDxfId="36"/>
    <tableColumn id="6" name="Frequência Pico" dataDxfId="35" totalsRowDxfId="34"/>
    <tableColumn id="17" name="Frequência fora pico" dataDxfId="33" totalsRowDxfId="32"/>
    <tableColumn id="16" name="Frequencia Semanal" dataDxfId="31" totalsRowDxfId="30"/>
    <tableColumn id="7" name="Frequência Pico Ônibus" dataDxfId="29" totalsRowDxfId="28"/>
    <tableColumn id="8" name="Frequência Pico Van" dataDxfId="27" totalsRowDxfId="26"/>
    <tableColumn id="10" name="Frequência fora pico Ônibus" dataDxfId="25" totalsRowDxfId="24"/>
    <tableColumn id="11" name="Frequência fora pico Van" dataDxfId="23" totalsRowDxfId="22"/>
    <tableColumn id="12" name="Frota Ônibus" totalsRowFunction="sum" totalsRowDxfId="21"/>
    <tableColumn id="13" name="Frota Van" totalsRowFunction="sum" totalsRowDxfId="20"/>
    <tableColumn id="21" name="Frequencia Semanal Ônibus" totalsRowFunction="custom" dataDxfId="19" totalsRowDxfId="18">
      <totalsRowFormula>SUM(Tabela824[Frequencia Semanal Ônibus])</totalsRowFormula>
    </tableColumn>
    <tableColumn id="20" name="Frequencia Semanal Van" totalsRowFunction="custom" dataDxfId="17" totalsRowDxfId="16">
      <totalsRowFormula>SUM(Tabela824[Frequencia Semanal Van])</totalsRowFormula>
    </tableColumn>
    <tableColumn id="18" name="Km Anual Total Ônibus" totalsRowFunction="sum" dataDxfId="15" totalsRowDxfId="14"/>
    <tableColumn id="19" name="PMA Ônibus" totalsRowFunction="custom" dataDxfId="13" totalsRowDxfId="12">
      <totalsRowFormula>IF(R40=0,,R40/N40)</totalsRowFormula>
    </tableColumn>
    <tableColumn id="22" name="Km Anual Total Van" totalsRowFunction="custom" dataDxfId="11" totalsRowDxfId="10">
      <totalsRowFormula>SUM(Tabela824[Km Anual Total Van])</totalsRowFormula>
    </tableColumn>
    <tableColumn id="23" name="PMA Van" totalsRowFunction="custom" dataDxfId="9" totalsRowDxfId="8">
      <totalsRowFormula>IF(T40=0,0,T40/O40)</totalsRowFormula>
    </tableColumn>
  </tableColumns>
  <tableStyleInfo name="Estilo de Tabela 1" showFirstColumn="0" showLastColumn="0" showRowStripes="1" showColumnStripes="0"/>
</table>
</file>

<file path=xl/tables/table3.xml><?xml version="1.0" encoding="utf-8"?>
<table xmlns="http://schemas.openxmlformats.org/spreadsheetml/2006/main" id="15" name="Tabela15" displayName="Tabela15" ref="D32:H52" totalsRowShown="0" headerRowDxfId="6" dataDxfId="5">
  <autoFilter ref="D32:H52"/>
  <sortState ref="D33:H52">
    <sortCondition ref="D32:D52"/>
  </sortState>
  <tableColumns count="5">
    <tableColumn id="1" name="Linha" dataDxfId="4"/>
    <tableColumn id="2" name="Frota Ônibus" dataDxfId="3"/>
    <tableColumn id="3" name="Frequencia Semanal Ônibus" dataDxfId="2"/>
    <tableColumn id="4" name="Frota Van" dataDxfId="1"/>
    <tableColumn id="5" name="Frequencia Semanal Van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"/>
  <sheetViews>
    <sheetView zoomScale="80" zoomScaleNormal="80" workbookViewId="0">
      <pane xSplit="3" ySplit="1" topLeftCell="H2" activePane="bottomRight" state="frozen"/>
      <selection pane="topRight" activeCell="D1" sqref="D1"/>
      <selection pane="bottomLeft" activeCell="A2" sqref="A2"/>
      <selection pane="bottomRight" sqref="A1:XFD1048576"/>
    </sheetView>
  </sheetViews>
  <sheetFormatPr defaultRowHeight="12.75" x14ac:dyDescent="0.2"/>
  <cols>
    <col min="1" max="1" width="11.140625" style="16" bestFit="1" customWidth="1"/>
    <col min="2" max="2" width="9.28515625" customWidth="1"/>
    <col min="3" max="3" width="39.42578125" bestFit="1" customWidth="1"/>
    <col min="4" max="4" width="8.42578125" style="16" customWidth="1"/>
    <col min="5" max="5" width="34.140625" style="16" bestFit="1" customWidth="1"/>
    <col min="6" max="6" width="9.5703125" style="16" customWidth="1"/>
    <col min="7" max="7" width="11.5703125" style="16" customWidth="1"/>
    <col min="8" max="8" width="13.140625" customWidth="1"/>
    <col min="9" max="9" width="21.28515625" customWidth="1"/>
    <col min="10" max="11" width="12.42578125" style="16" customWidth="1"/>
    <col min="12" max="12" width="12.7109375" style="1" customWidth="1"/>
    <col min="13" max="13" width="12.7109375" style="2" customWidth="1"/>
    <col min="14" max="14" width="14.5703125" style="2" customWidth="1"/>
    <col min="15" max="15" width="14.5703125" style="9" customWidth="1"/>
    <col min="16" max="16" width="21.140625" style="9" customWidth="1"/>
    <col min="17" max="21" width="14.7109375" style="2" customWidth="1"/>
    <col min="22" max="23" width="16.7109375" style="2" customWidth="1"/>
    <col min="24" max="24" width="13.42578125" customWidth="1"/>
    <col min="26" max="26" width="29.7109375" bestFit="1" customWidth="1"/>
  </cols>
  <sheetData>
    <row r="1" spans="1:27" s="8" customFormat="1" ht="39" thickBot="1" x14ac:dyDescent="0.25">
      <c r="A1" s="3" t="s">
        <v>0</v>
      </c>
      <c r="B1" s="4" t="s">
        <v>3</v>
      </c>
      <c r="C1" s="4" t="s">
        <v>4</v>
      </c>
      <c r="D1" s="4" t="s">
        <v>5</v>
      </c>
      <c r="E1" s="14" t="s">
        <v>44</v>
      </c>
      <c r="F1" s="14" t="s">
        <v>1</v>
      </c>
      <c r="G1" s="14" t="s">
        <v>2</v>
      </c>
      <c r="H1" s="13" t="s">
        <v>21</v>
      </c>
      <c r="I1" s="4" t="s">
        <v>22</v>
      </c>
      <c r="J1" s="5" t="s">
        <v>11</v>
      </c>
      <c r="K1" s="5" t="s">
        <v>9</v>
      </c>
      <c r="L1" s="5" t="s">
        <v>8</v>
      </c>
      <c r="M1" s="6" t="s">
        <v>10</v>
      </c>
      <c r="N1" s="6" t="s">
        <v>12</v>
      </c>
      <c r="O1" s="6" t="s">
        <v>20</v>
      </c>
      <c r="P1" s="6" t="s">
        <v>18</v>
      </c>
      <c r="Q1" s="6" t="s">
        <v>16</v>
      </c>
      <c r="R1" s="6" t="s">
        <v>15</v>
      </c>
      <c r="S1" s="71" t="s">
        <v>78</v>
      </c>
      <c r="T1" s="71" t="s">
        <v>79</v>
      </c>
      <c r="U1" s="6" t="s">
        <v>17</v>
      </c>
      <c r="V1" s="6" t="s">
        <v>13</v>
      </c>
      <c r="W1" s="6" t="s">
        <v>14</v>
      </c>
      <c r="X1" s="6" t="s">
        <v>19</v>
      </c>
      <c r="Z1" s="76" t="s">
        <v>80</v>
      </c>
    </row>
    <row r="2" spans="1:27" ht="13.5" thickTop="1" x14ac:dyDescent="0.2">
      <c r="A2" s="15">
        <v>1265</v>
      </c>
      <c r="B2" s="17"/>
      <c r="C2" s="27" t="s">
        <v>31</v>
      </c>
      <c r="D2" s="15" t="s">
        <v>6</v>
      </c>
      <c r="E2" s="15" t="s">
        <v>93</v>
      </c>
      <c r="F2" s="39">
        <v>44.726169513538402</v>
      </c>
      <c r="G2" s="39">
        <v>65.054025374877057</v>
      </c>
      <c r="H2" s="15">
        <v>276</v>
      </c>
      <c r="I2" s="15">
        <v>164</v>
      </c>
      <c r="J2" s="22"/>
      <c r="K2" s="21"/>
      <c r="L2" s="18">
        <v>0.25</v>
      </c>
      <c r="M2" s="7">
        <v>1104</v>
      </c>
      <c r="N2" s="7">
        <v>1100</v>
      </c>
      <c r="O2" s="7">
        <v>164</v>
      </c>
      <c r="P2" s="7">
        <v>489.62318840579712</v>
      </c>
      <c r="Q2" s="20">
        <v>2</v>
      </c>
      <c r="R2" s="10">
        <v>16</v>
      </c>
      <c r="S2" s="72">
        <v>3</v>
      </c>
      <c r="T2" s="72">
        <v>10</v>
      </c>
      <c r="U2" s="19">
        <v>13</v>
      </c>
      <c r="V2" s="19">
        <v>9.75</v>
      </c>
      <c r="W2" s="19">
        <v>3.25</v>
      </c>
      <c r="X2" s="19">
        <v>78</v>
      </c>
      <c r="Z2" s="77" t="s">
        <v>81</v>
      </c>
      <c r="AA2" s="78">
        <v>70</v>
      </c>
    </row>
    <row r="3" spans="1:27" x14ac:dyDescent="0.2">
      <c r="A3" s="15">
        <v>1266</v>
      </c>
      <c r="B3" s="17"/>
      <c r="C3" s="27" t="s">
        <v>31</v>
      </c>
      <c r="D3" s="15" t="s">
        <v>7</v>
      </c>
      <c r="E3" s="15" t="s">
        <v>94</v>
      </c>
      <c r="F3" s="39">
        <v>42.12692760117352</v>
      </c>
      <c r="G3" s="39">
        <v>61.736812034431523</v>
      </c>
      <c r="H3" s="15">
        <v>159</v>
      </c>
      <c r="I3" s="15">
        <v>124</v>
      </c>
      <c r="J3" s="22"/>
      <c r="K3" s="21"/>
      <c r="L3" s="18">
        <v>0.25</v>
      </c>
      <c r="M3" s="7">
        <v>636</v>
      </c>
      <c r="N3" s="7">
        <v>1100</v>
      </c>
      <c r="O3" s="7">
        <v>164</v>
      </c>
      <c r="P3" s="7">
        <v>489.62318840579712</v>
      </c>
      <c r="Q3" s="20">
        <v>2</v>
      </c>
      <c r="R3" s="10">
        <v>16</v>
      </c>
      <c r="S3" s="72">
        <v>3</v>
      </c>
      <c r="T3" s="72">
        <v>10</v>
      </c>
      <c r="U3" s="36">
        <v>13</v>
      </c>
      <c r="V3" s="19">
        <v>9.75</v>
      </c>
      <c r="W3" s="19">
        <v>3.25</v>
      </c>
      <c r="X3" s="19">
        <v>78</v>
      </c>
      <c r="Z3" s="77" t="s">
        <v>82</v>
      </c>
      <c r="AA3" s="78">
        <v>30</v>
      </c>
    </row>
    <row r="4" spans="1:27" x14ac:dyDescent="0.2">
      <c r="A4" s="15">
        <v>1259</v>
      </c>
      <c r="B4" s="29"/>
      <c r="C4" s="27" t="s">
        <v>28</v>
      </c>
      <c r="D4" s="15" t="s">
        <v>6</v>
      </c>
      <c r="E4" s="15" t="s">
        <v>95</v>
      </c>
      <c r="F4" s="39">
        <v>21.391462070751004</v>
      </c>
      <c r="G4" s="39">
        <v>46.332913938843255</v>
      </c>
      <c r="H4" s="15">
        <v>446</v>
      </c>
      <c r="I4" s="15">
        <v>419</v>
      </c>
      <c r="J4" s="22"/>
      <c r="K4" s="21"/>
      <c r="L4" s="18">
        <v>0.25</v>
      </c>
      <c r="M4" s="7">
        <v>1784</v>
      </c>
      <c r="N4" s="7">
        <v>1800</v>
      </c>
      <c r="O4" s="7">
        <v>419</v>
      </c>
      <c r="P4" s="7">
        <v>1272.0313901345291</v>
      </c>
      <c r="Q4" s="20">
        <v>6</v>
      </c>
      <c r="R4" s="10">
        <v>42</v>
      </c>
      <c r="S4" s="73">
        <v>6</v>
      </c>
      <c r="T4" s="73">
        <v>32</v>
      </c>
      <c r="U4" s="36">
        <v>38</v>
      </c>
      <c r="V4" s="19">
        <v>28.5</v>
      </c>
      <c r="W4" s="19">
        <v>19</v>
      </c>
      <c r="X4" s="19">
        <v>237.5</v>
      </c>
      <c r="Z4" s="77" t="s">
        <v>83</v>
      </c>
      <c r="AA4" s="78">
        <v>30</v>
      </c>
    </row>
    <row r="5" spans="1:27" x14ac:dyDescent="0.2">
      <c r="A5" s="15">
        <v>1260</v>
      </c>
      <c r="B5" s="29"/>
      <c r="C5" s="27" t="s">
        <v>28</v>
      </c>
      <c r="D5" s="15" t="s">
        <v>7</v>
      </c>
      <c r="E5" s="15" t="s">
        <v>96</v>
      </c>
      <c r="F5" s="39">
        <v>19.857567949104123</v>
      </c>
      <c r="G5" s="39">
        <v>43.378173763025544</v>
      </c>
      <c r="H5" s="15">
        <v>261</v>
      </c>
      <c r="I5" s="15">
        <v>261</v>
      </c>
      <c r="J5" s="24"/>
      <c r="K5" s="21"/>
      <c r="L5" s="18">
        <v>0.25</v>
      </c>
      <c r="M5" s="7">
        <v>0</v>
      </c>
      <c r="N5" s="11">
        <v>1800</v>
      </c>
      <c r="O5" s="7">
        <v>419</v>
      </c>
      <c r="P5" s="7">
        <v>1272.0313901345291</v>
      </c>
      <c r="Q5" s="20">
        <v>6</v>
      </c>
      <c r="R5" s="10">
        <v>42</v>
      </c>
      <c r="S5" s="72">
        <v>6</v>
      </c>
      <c r="T5" s="72">
        <v>32</v>
      </c>
      <c r="U5" s="36">
        <v>38</v>
      </c>
      <c r="V5" s="19">
        <v>28.5</v>
      </c>
      <c r="W5" s="19">
        <v>19</v>
      </c>
      <c r="X5" s="19">
        <v>237.5</v>
      </c>
      <c r="Z5" s="77" t="s">
        <v>84</v>
      </c>
      <c r="AA5" s="78">
        <v>15</v>
      </c>
    </row>
    <row r="6" spans="1:27" x14ac:dyDescent="0.2">
      <c r="A6" s="15">
        <v>1261</v>
      </c>
      <c r="B6" s="16"/>
      <c r="C6" s="27" t="s">
        <v>29</v>
      </c>
      <c r="D6" s="55" t="s">
        <v>6</v>
      </c>
      <c r="E6" s="15" t="s">
        <v>97</v>
      </c>
      <c r="F6" s="95">
        <v>6.5</v>
      </c>
      <c r="G6" s="39">
        <v>16</v>
      </c>
      <c r="H6" s="15">
        <v>1462</v>
      </c>
      <c r="I6" s="15">
        <v>1326</v>
      </c>
      <c r="J6" s="24"/>
      <c r="K6" s="21"/>
      <c r="L6" s="18">
        <v>0.3</v>
      </c>
      <c r="M6" s="7">
        <v>4873.3333333333339</v>
      </c>
      <c r="N6" s="11">
        <v>4800</v>
      </c>
      <c r="O6" s="7">
        <v>1326</v>
      </c>
      <c r="P6" s="7">
        <v>3027.4883720930234</v>
      </c>
      <c r="Q6" s="20">
        <v>19</v>
      </c>
      <c r="R6" s="10">
        <v>101</v>
      </c>
      <c r="S6" s="72">
        <v>19</v>
      </c>
      <c r="T6" s="72">
        <v>85</v>
      </c>
      <c r="U6" s="36">
        <v>104</v>
      </c>
      <c r="V6" s="19">
        <v>78</v>
      </c>
      <c r="W6" s="19">
        <v>41.6</v>
      </c>
      <c r="X6" s="19">
        <v>639.6</v>
      </c>
    </row>
    <row r="7" spans="1:27" x14ac:dyDescent="0.2">
      <c r="A7" s="53"/>
      <c r="B7" s="44"/>
      <c r="C7" s="27" t="s">
        <v>29</v>
      </c>
      <c r="D7" s="56" t="s">
        <v>7</v>
      </c>
      <c r="E7" s="15" t="s">
        <v>98</v>
      </c>
      <c r="F7" s="39"/>
      <c r="G7" s="39"/>
      <c r="H7" s="15"/>
      <c r="I7" s="15"/>
      <c r="J7" s="24"/>
      <c r="K7" s="54"/>
      <c r="L7" s="18"/>
      <c r="M7" s="7"/>
      <c r="N7" s="7"/>
      <c r="O7" s="7"/>
      <c r="P7" s="7"/>
      <c r="Q7" s="20">
        <v>0</v>
      </c>
      <c r="R7" s="10">
        <v>0</v>
      </c>
      <c r="S7" s="72"/>
      <c r="T7" s="72"/>
      <c r="U7" s="36"/>
      <c r="V7" s="19"/>
      <c r="W7" s="19"/>
      <c r="X7" s="19"/>
    </row>
    <row r="8" spans="1:27" x14ac:dyDescent="0.2">
      <c r="A8" s="15">
        <v>1263</v>
      </c>
      <c r="B8" s="16"/>
      <c r="C8" s="27" t="s">
        <v>30</v>
      </c>
      <c r="D8" s="55" t="s">
        <v>6</v>
      </c>
      <c r="E8" s="15" t="s">
        <v>99</v>
      </c>
      <c r="F8" s="95">
        <v>6.5</v>
      </c>
      <c r="G8" s="39">
        <v>16</v>
      </c>
      <c r="H8" s="15">
        <v>1402</v>
      </c>
      <c r="I8" s="15">
        <v>1276</v>
      </c>
      <c r="J8" s="24"/>
      <c r="K8" s="21"/>
      <c r="L8" s="18">
        <v>0.3</v>
      </c>
      <c r="M8" s="7">
        <v>4673.3333333333339</v>
      </c>
      <c r="N8" s="11">
        <v>4700</v>
      </c>
      <c r="O8" s="7">
        <v>1276</v>
      </c>
      <c r="P8" s="7">
        <v>3001.6034236804567</v>
      </c>
      <c r="Q8" s="20">
        <v>18</v>
      </c>
      <c r="R8" s="10">
        <v>100</v>
      </c>
      <c r="S8" s="72">
        <v>19</v>
      </c>
      <c r="T8" s="72">
        <v>85</v>
      </c>
      <c r="U8" s="36">
        <v>104</v>
      </c>
      <c r="V8" s="19">
        <v>78</v>
      </c>
      <c r="W8" s="19">
        <v>41.6</v>
      </c>
      <c r="X8" s="19">
        <v>639.6</v>
      </c>
    </row>
    <row r="9" spans="1:27" x14ac:dyDescent="0.2">
      <c r="A9" s="53"/>
      <c r="B9" s="44"/>
      <c r="C9" s="27" t="s">
        <v>30</v>
      </c>
      <c r="D9" s="56" t="s">
        <v>7</v>
      </c>
      <c r="E9" s="15" t="s">
        <v>100</v>
      </c>
      <c r="F9" s="15"/>
      <c r="G9" s="15"/>
      <c r="H9" s="15"/>
      <c r="I9" s="15"/>
      <c r="J9" s="24"/>
      <c r="K9" s="54"/>
      <c r="L9" s="18"/>
      <c r="M9" s="7"/>
      <c r="N9" s="7"/>
      <c r="O9" s="7"/>
      <c r="P9" s="7"/>
      <c r="Q9" s="20">
        <v>0</v>
      </c>
      <c r="R9" s="10">
        <v>0</v>
      </c>
      <c r="S9" s="72"/>
      <c r="T9" s="72"/>
      <c r="U9" s="36"/>
      <c r="V9" s="19"/>
      <c r="W9" s="19"/>
      <c r="X9" s="19"/>
    </row>
    <row r="10" spans="1:27" x14ac:dyDescent="0.2">
      <c r="A10" s="15">
        <v>1246</v>
      </c>
      <c r="B10" s="16"/>
      <c r="C10" s="27" t="s">
        <v>25</v>
      </c>
      <c r="D10" s="15" t="s">
        <v>6</v>
      </c>
      <c r="E10" s="15" t="s">
        <v>101</v>
      </c>
      <c r="F10" s="39">
        <v>52</v>
      </c>
      <c r="G10" s="39">
        <v>90</v>
      </c>
      <c r="H10" s="15">
        <v>285</v>
      </c>
      <c r="I10" s="15">
        <v>180</v>
      </c>
      <c r="J10" s="26"/>
      <c r="K10" s="21"/>
      <c r="L10" s="18">
        <v>0.9</v>
      </c>
      <c r="M10" s="7">
        <v>316.66666666666669</v>
      </c>
      <c r="N10" s="11">
        <v>350</v>
      </c>
      <c r="O10" s="7">
        <v>180</v>
      </c>
      <c r="P10" s="7">
        <v>41.05263157894737</v>
      </c>
      <c r="Q10" s="20">
        <v>3</v>
      </c>
      <c r="R10" s="10">
        <v>1</v>
      </c>
      <c r="S10" s="72">
        <v>1</v>
      </c>
      <c r="T10" s="72">
        <v>2</v>
      </c>
      <c r="U10" s="36">
        <v>3</v>
      </c>
      <c r="V10" s="19">
        <v>2.4000000000000004</v>
      </c>
      <c r="W10" s="19">
        <v>1.2000000000000002</v>
      </c>
      <c r="X10" s="19">
        <v>18.599999999999998</v>
      </c>
    </row>
    <row r="11" spans="1:27" x14ac:dyDescent="0.2">
      <c r="A11" s="15">
        <v>1247</v>
      </c>
      <c r="B11" s="16"/>
      <c r="C11" s="27" t="s">
        <v>25</v>
      </c>
      <c r="D11" s="15" t="s">
        <v>7</v>
      </c>
      <c r="E11" s="15" t="s">
        <v>102</v>
      </c>
      <c r="F11" s="39">
        <v>52</v>
      </c>
      <c r="G11" s="39">
        <v>80</v>
      </c>
      <c r="H11" s="15">
        <v>10</v>
      </c>
      <c r="I11" s="15">
        <v>9</v>
      </c>
      <c r="J11" s="26"/>
      <c r="K11" s="21"/>
      <c r="L11" s="18">
        <v>0.9</v>
      </c>
      <c r="M11" s="7">
        <v>11.111111111111111</v>
      </c>
      <c r="N11" s="11">
        <v>320</v>
      </c>
      <c r="O11" s="7">
        <v>9</v>
      </c>
      <c r="P11" s="7">
        <v>41.05263157894737</v>
      </c>
      <c r="Q11" s="20">
        <v>0</v>
      </c>
      <c r="R11" s="10">
        <v>1</v>
      </c>
      <c r="S11" s="72">
        <v>1</v>
      </c>
      <c r="T11" s="72">
        <v>2</v>
      </c>
      <c r="U11" s="36">
        <v>3</v>
      </c>
      <c r="V11" s="19">
        <v>2.4000000000000004</v>
      </c>
      <c r="W11" s="19">
        <v>1.2000000000000002</v>
      </c>
      <c r="X11" s="19">
        <v>18.599999999999998</v>
      </c>
    </row>
    <row r="12" spans="1:27" x14ac:dyDescent="0.2">
      <c r="A12" s="15">
        <v>1280</v>
      </c>
      <c r="B12" s="16"/>
      <c r="C12" s="27" t="s">
        <v>36</v>
      </c>
      <c r="D12" s="15" t="s">
        <v>6</v>
      </c>
      <c r="E12" s="15" t="s">
        <v>103</v>
      </c>
      <c r="F12" s="39">
        <v>48.019157121423632</v>
      </c>
      <c r="G12" s="39">
        <v>87.922069774243624</v>
      </c>
      <c r="H12" s="15">
        <v>46</v>
      </c>
      <c r="I12" s="15">
        <v>40</v>
      </c>
      <c r="J12" s="25"/>
      <c r="K12" s="28"/>
      <c r="L12" s="18">
        <v>0.5</v>
      </c>
      <c r="M12" s="7">
        <v>92</v>
      </c>
      <c r="N12" s="11">
        <v>320</v>
      </c>
      <c r="O12" s="7">
        <v>40</v>
      </c>
      <c r="P12" s="7">
        <v>112.16049382716049</v>
      </c>
      <c r="Q12" s="20">
        <v>1</v>
      </c>
      <c r="R12" s="10">
        <v>4</v>
      </c>
      <c r="S12" s="74">
        <v>2</v>
      </c>
      <c r="T12" s="74">
        <v>4</v>
      </c>
      <c r="U12" s="36">
        <v>6</v>
      </c>
      <c r="V12" s="7">
        <v>4.8000000000000007</v>
      </c>
      <c r="W12" s="7">
        <v>2.4000000000000004</v>
      </c>
      <c r="X12" s="7">
        <v>37.199999999999996</v>
      </c>
    </row>
    <row r="13" spans="1:27" x14ac:dyDescent="0.2">
      <c r="A13" s="15">
        <v>1279</v>
      </c>
      <c r="B13" s="16"/>
      <c r="C13" s="27" t="s">
        <v>36</v>
      </c>
      <c r="D13" s="15" t="s">
        <v>7</v>
      </c>
      <c r="E13" s="15" t="s">
        <v>104</v>
      </c>
      <c r="F13" s="39">
        <v>48.095982050988823</v>
      </c>
      <c r="G13" s="39">
        <v>92.038093821399244</v>
      </c>
      <c r="H13" s="15">
        <v>162</v>
      </c>
      <c r="I13" s="15">
        <v>115</v>
      </c>
      <c r="J13" s="25"/>
      <c r="K13" s="28"/>
      <c r="L13" s="18">
        <v>0.5</v>
      </c>
      <c r="M13" s="7">
        <v>324</v>
      </c>
      <c r="N13" s="11">
        <v>320</v>
      </c>
      <c r="O13" s="7">
        <v>115</v>
      </c>
      <c r="P13" s="7">
        <v>112.16049382716049</v>
      </c>
      <c r="Q13" s="20">
        <v>2</v>
      </c>
      <c r="R13" s="10">
        <v>4</v>
      </c>
      <c r="S13" s="72">
        <v>2</v>
      </c>
      <c r="T13" s="72">
        <v>4</v>
      </c>
      <c r="U13" s="36">
        <v>6</v>
      </c>
      <c r="V13" s="19">
        <v>4.8000000000000007</v>
      </c>
      <c r="W13" s="19">
        <v>2.4000000000000004</v>
      </c>
      <c r="X13" s="19">
        <v>37.199999999999996</v>
      </c>
    </row>
    <row r="14" spans="1:27" x14ac:dyDescent="0.2">
      <c r="A14" s="15">
        <v>1272</v>
      </c>
      <c r="B14" s="16"/>
      <c r="C14" s="27" t="s">
        <v>34</v>
      </c>
      <c r="D14" s="15" t="s">
        <v>6</v>
      </c>
      <c r="E14" s="15" t="s">
        <v>105</v>
      </c>
      <c r="F14" s="39">
        <v>20.5</v>
      </c>
      <c r="G14" s="39">
        <v>43.5</v>
      </c>
      <c r="H14" s="15">
        <v>1349</v>
      </c>
      <c r="I14" s="15">
        <v>752</v>
      </c>
      <c r="J14" s="24"/>
      <c r="K14" s="28"/>
      <c r="L14" s="18">
        <v>0.25</v>
      </c>
      <c r="M14" s="7">
        <v>5396</v>
      </c>
      <c r="N14" s="11">
        <v>5300</v>
      </c>
      <c r="O14" s="7">
        <v>752</v>
      </c>
      <c r="P14" s="7">
        <v>2202.4848035581913</v>
      </c>
      <c r="Q14" s="20">
        <v>11</v>
      </c>
      <c r="R14" s="10">
        <v>73</v>
      </c>
      <c r="S14" s="72">
        <v>11</v>
      </c>
      <c r="T14" s="72">
        <v>70</v>
      </c>
      <c r="U14" s="36">
        <v>81</v>
      </c>
      <c r="V14" s="19">
        <v>64.8</v>
      </c>
      <c r="W14" s="19">
        <v>32.4</v>
      </c>
      <c r="X14" s="19">
        <v>502.2</v>
      </c>
    </row>
    <row r="15" spans="1:27" x14ac:dyDescent="0.2">
      <c r="A15" s="53"/>
      <c r="B15" s="44"/>
      <c r="C15" s="27" t="s">
        <v>34</v>
      </c>
      <c r="D15" s="15" t="s">
        <v>7</v>
      </c>
      <c r="E15" s="15" t="s">
        <v>106</v>
      </c>
      <c r="F15" s="15"/>
      <c r="G15" s="15"/>
      <c r="H15" s="15"/>
      <c r="I15" s="15"/>
      <c r="J15" s="24"/>
      <c r="K15" s="54"/>
      <c r="L15" s="18"/>
      <c r="M15" s="7"/>
      <c r="N15" s="7"/>
      <c r="O15" s="7">
        <v>0</v>
      </c>
      <c r="P15" s="7"/>
      <c r="Q15" s="20">
        <v>0</v>
      </c>
      <c r="R15" s="10">
        <v>0</v>
      </c>
      <c r="S15" s="72"/>
      <c r="T15" s="72"/>
      <c r="U15" s="36"/>
      <c r="V15" s="19"/>
      <c r="W15" s="19"/>
      <c r="X15" s="19"/>
    </row>
    <row r="16" spans="1:27" x14ac:dyDescent="0.2">
      <c r="A16" s="15">
        <v>1273</v>
      </c>
      <c r="B16" s="16"/>
      <c r="C16" s="27" t="s">
        <v>35</v>
      </c>
      <c r="D16" s="15" t="s">
        <v>6</v>
      </c>
      <c r="E16" s="15" t="s">
        <v>107</v>
      </c>
      <c r="F16" s="39">
        <v>20.5</v>
      </c>
      <c r="G16" s="39">
        <v>43.5</v>
      </c>
      <c r="H16" s="15">
        <v>1823</v>
      </c>
      <c r="I16" s="15">
        <v>650</v>
      </c>
      <c r="J16" s="24"/>
      <c r="K16" s="28"/>
      <c r="L16" s="18">
        <v>0.25</v>
      </c>
      <c r="M16" s="7">
        <v>7292</v>
      </c>
      <c r="N16" s="11">
        <v>7200</v>
      </c>
      <c r="O16" s="7">
        <v>650</v>
      </c>
      <c r="P16" s="7">
        <v>1917.1969281404279</v>
      </c>
      <c r="Q16" s="20">
        <v>9</v>
      </c>
      <c r="R16" s="10">
        <v>64</v>
      </c>
      <c r="S16" s="72">
        <v>9</v>
      </c>
      <c r="T16" s="72">
        <v>60</v>
      </c>
      <c r="U16" s="36">
        <v>69</v>
      </c>
      <c r="V16" s="19">
        <v>64.8</v>
      </c>
      <c r="W16" s="19">
        <v>32.4</v>
      </c>
      <c r="X16" s="19">
        <v>442.2</v>
      </c>
    </row>
    <row r="17" spans="1:24" x14ac:dyDescent="0.2">
      <c r="A17" s="53"/>
      <c r="B17" s="44"/>
      <c r="C17" s="27" t="s">
        <v>35</v>
      </c>
      <c r="D17" s="15" t="s">
        <v>7</v>
      </c>
      <c r="E17" s="15" t="s">
        <v>108</v>
      </c>
      <c r="F17" s="15"/>
      <c r="G17" s="15"/>
      <c r="H17" s="15"/>
      <c r="I17" s="15"/>
      <c r="J17" s="24"/>
      <c r="K17" s="54"/>
      <c r="L17" s="18"/>
      <c r="M17" s="7"/>
      <c r="N17" s="7"/>
      <c r="O17" s="7">
        <v>0</v>
      </c>
      <c r="P17" s="7"/>
      <c r="Q17" s="20">
        <v>0</v>
      </c>
      <c r="R17" s="10">
        <v>0</v>
      </c>
      <c r="S17" s="72"/>
      <c r="T17" s="72"/>
      <c r="U17" s="36"/>
      <c r="V17" s="19"/>
      <c r="W17" s="19"/>
      <c r="X17" s="19"/>
    </row>
    <row r="18" spans="1:24" x14ac:dyDescent="0.2">
      <c r="A18" s="15">
        <v>1242</v>
      </c>
      <c r="B18" s="16"/>
      <c r="C18" s="27" t="s">
        <v>23</v>
      </c>
      <c r="D18" s="15" t="s">
        <v>6</v>
      </c>
      <c r="E18" s="15" t="s">
        <v>109</v>
      </c>
      <c r="F18" s="39">
        <v>11.005409162957221</v>
      </c>
      <c r="G18" s="39">
        <v>25.150502582320147</v>
      </c>
      <c r="H18" s="15">
        <v>213</v>
      </c>
      <c r="I18" s="15">
        <v>198</v>
      </c>
      <c r="J18" s="25"/>
      <c r="K18" s="21"/>
      <c r="L18" s="18">
        <v>0.25</v>
      </c>
      <c r="M18" s="7">
        <v>852</v>
      </c>
      <c r="N18" s="11">
        <v>4000</v>
      </c>
      <c r="O18" s="7">
        <v>877</v>
      </c>
      <c r="P18" s="7">
        <v>2347.2647058823532</v>
      </c>
      <c r="Q18" s="20">
        <v>13</v>
      </c>
      <c r="R18" s="10">
        <v>78</v>
      </c>
      <c r="S18" s="72">
        <v>13</v>
      </c>
      <c r="T18" s="72">
        <v>60</v>
      </c>
      <c r="U18" s="36">
        <v>73</v>
      </c>
      <c r="V18" s="19">
        <v>58.400000000000006</v>
      </c>
      <c r="W18" s="19">
        <v>29.200000000000003</v>
      </c>
      <c r="X18" s="19">
        <v>452.59999999999997</v>
      </c>
    </row>
    <row r="19" spans="1:24" x14ac:dyDescent="0.2">
      <c r="A19" s="15">
        <v>1243</v>
      </c>
      <c r="B19" s="16"/>
      <c r="C19" s="27" t="s">
        <v>23</v>
      </c>
      <c r="D19" s="15" t="s">
        <v>7</v>
      </c>
      <c r="E19" s="15" t="s">
        <v>110</v>
      </c>
      <c r="F19" s="39">
        <v>11.005409162957221</v>
      </c>
      <c r="G19" s="39">
        <v>24.060410906800207</v>
      </c>
      <c r="H19" s="15">
        <v>1088</v>
      </c>
      <c r="I19" s="15">
        <v>877</v>
      </c>
      <c r="J19" s="24"/>
      <c r="K19" s="21"/>
      <c r="L19" s="18">
        <v>0.25</v>
      </c>
      <c r="M19" s="7">
        <v>4352</v>
      </c>
      <c r="N19" s="11">
        <v>4000</v>
      </c>
      <c r="O19" s="7">
        <v>877</v>
      </c>
      <c r="P19" s="7">
        <v>2347.2647058823532</v>
      </c>
      <c r="Q19" s="20">
        <v>13</v>
      </c>
      <c r="R19" s="10">
        <v>78</v>
      </c>
      <c r="S19" s="72">
        <v>13</v>
      </c>
      <c r="T19" s="72">
        <v>60</v>
      </c>
      <c r="U19" s="36">
        <v>73</v>
      </c>
      <c r="V19" s="19">
        <v>58.400000000000006</v>
      </c>
      <c r="W19" s="19">
        <v>29.200000000000003</v>
      </c>
      <c r="X19" s="19">
        <v>452.59999999999997</v>
      </c>
    </row>
    <row r="20" spans="1:24" x14ac:dyDescent="0.2">
      <c r="A20" s="15">
        <v>1255</v>
      </c>
      <c r="B20" s="16"/>
      <c r="C20" s="27" t="s">
        <v>27</v>
      </c>
      <c r="D20" s="15" t="s">
        <v>6</v>
      </c>
      <c r="E20" s="15" t="s">
        <v>111</v>
      </c>
      <c r="F20" s="39">
        <v>12.91054074652493</v>
      </c>
      <c r="G20" s="39">
        <v>25.233109177436148</v>
      </c>
      <c r="H20" s="15">
        <v>0</v>
      </c>
      <c r="I20" s="15">
        <v>0</v>
      </c>
      <c r="J20" s="24"/>
      <c r="K20" s="21"/>
      <c r="L20" s="18">
        <v>0.4</v>
      </c>
      <c r="M20" s="7">
        <v>0</v>
      </c>
      <c r="N20" s="11">
        <v>50</v>
      </c>
      <c r="O20" s="7">
        <v>0</v>
      </c>
      <c r="P20" s="7">
        <v>36.857142857142854</v>
      </c>
      <c r="Q20" s="20">
        <v>0</v>
      </c>
      <c r="R20" s="10">
        <v>1</v>
      </c>
      <c r="S20" s="72">
        <v>1</v>
      </c>
      <c r="T20" s="72">
        <v>2</v>
      </c>
      <c r="U20" s="36">
        <v>3</v>
      </c>
      <c r="V20" s="19">
        <v>2.4000000000000004</v>
      </c>
      <c r="W20" s="19">
        <v>1.2000000000000002</v>
      </c>
      <c r="X20" s="19">
        <v>18.599999999999998</v>
      </c>
    </row>
    <row r="21" spans="1:24" x14ac:dyDescent="0.2">
      <c r="A21" s="15">
        <v>1256</v>
      </c>
      <c r="B21" s="16"/>
      <c r="C21" s="27" t="s">
        <v>27</v>
      </c>
      <c r="D21" s="15" t="s">
        <v>7</v>
      </c>
      <c r="E21" s="15" t="s">
        <v>112</v>
      </c>
      <c r="F21" s="39">
        <v>12.321948140859604</v>
      </c>
      <c r="G21" s="39">
        <v>22.398537307977673</v>
      </c>
      <c r="H21" s="15">
        <v>7</v>
      </c>
      <c r="I21" s="15">
        <v>6</v>
      </c>
      <c r="J21" s="24"/>
      <c r="K21" s="21"/>
      <c r="L21" s="18">
        <v>0.4</v>
      </c>
      <c r="M21" s="7">
        <v>17.5</v>
      </c>
      <c r="N21" s="11">
        <v>50</v>
      </c>
      <c r="O21" s="7">
        <v>6</v>
      </c>
      <c r="P21" s="7">
        <v>36.857142857142854</v>
      </c>
      <c r="Q21" s="20">
        <v>0</v>
      </c>
      <c r="R21" s="10">
        <v>1</v>
      </c>
      <c r="S21" s="72">
        <v>1</v>
      </c>
      <c r="T21" s="72">
        <v>2</v>
      </c>
      <c r="U21" s="36">
        <v>3</v>
      </c>
      <c r="V21" s="19">
        <v>2.4000000000000004</v>
      </c>
      <c r="W21" s="19">
        <v>1.2000000000000002</v>
      </c>
      <c r="X21" s="19">
        <v>18.599999999999998</v>
      </c>
    </row>
    <row r="22" spans="1:24" x14ac:dyDescent="0.2">
      <c r="A22" s="15">
        <v>1244</v>
      </c>
      <c r="B22" s="16"/>
      <c r="C22" s="27" t="s">
        <v>24</v>
      </c>
      <c r="D22" s="15" t="s">
        <v>6</v>
      </c>
      <c r="E22" s="15" t="s">
        <v>113</v>
      </c>
      <c r="F22" s="39">
        <v>18.269847303628922</v>
      </c>
      <c r="G22" s="39">
        <v>37.194562727319351</v>
      </c>
      <c r="H22" s="15">
        <v>415</v>
      </c>
      <c r="I22" s="15">
        <v>380</v>
      </c>
      <c r="J22" s="25"/>
      <c r="K22" s="21"/>
      <c r="L22" s="18">
        <v>0.25</v>
      </c>
      <c r="M22" s="7">
        <v>1660</v>
      </c>
      <c r="N22" s="11">
        <v>1700</v>
      </c>
      <c r="O22" s="7">
        <v>380</v>
      </c>
      <c r="P22" s="7">
        <v>1176.6265060240964</v>
      </c>
      <c r="Q22" s="20">
        <v>5</v>
      </c>
      <c r="R22" s="10">
        <v>39</v>
      </c>
      <c r="S22" s="75">
        <v>5</v>
      </c>
      <c r="T22" s="75">
        <v>25</v>
      </c>
      <c r="U22" s="36">
        <v>30</v>
      </c>
      <c r="V22" s="19">
        <v>24</v>
      </c>
      <c r="W22" s="19">
        <v>12</v>
      </c>
      <c r="X22" s="19">
        <v>186</v>
      </c>
    </row>
    <row r="23" spans="1:24" x14ac:dyDescent="0.2">
      <c r="A23" s="15">
        <v>1245</v>
      </c>
      <c r="B23" s="16"/>
      <c r="C23" s="27" t="s">
        <v>24</v>
      </c>
      <c r="D23" s="15" t="s">
        <v>7</v>
      </c>
      <c r="E23" s="15" t="s">
        <v>114</v>
      </c>
      <c r="F23" s="39">
        <v>18.269847303628922</v>
      </c>
      <c r="G23" s="39">
        <v>35.064931482608827</v>
      </c>
      <c r="H23" s="15">
        <v>199</v>
      </c>
      <c r="I23" s="15">
        <v>198</v>
      </c>
      <c r="J23" s="24"/>
      <c r="K23" s="21"/>
      <c r="L23" s="18">
        <v>0.25</v>
      </c>
      <c r="M23" s="7">
        <v>796</v>
      </c>
      <c r="N23" s="11">
        <v>1700</v>
      </c>
      <c r="O23" s="7">
        <v>380</v>
      </c>
      <c r="P23" s="7">
        <v>1176.6265060240964</v>
      </c>
      <c r="Q23" s="20">
        <v>5</v>
      </c>
      <c r="R23" s="10">
        <v>39</v>
      </c>
      <c r="S23" s="75">
        <v>5</v>
      </c>
      <c r="T23" s="75">
        <v>25</v>
      </c>
      <c r="U23" s="36">
        <v>30</v>
      </c>
      <c r="V23" s="19">
        <v>24</v>
      </c>
      <c r="W23" s="19">
        <v>12</v>
      </c>
      <c r="X23" s="19">
        <v>186</v>
      </c>
    </row>
    <row r="24" spans="1:24" x14ac:dyDescent="0.2">
      <c r="A24" s="15">
        <v>1267</v>
      </c>
      <c r="B24" s="16"/>
      <c r="C24" s="27" t="s">
        <v>32</v>
      </c>
      <c r="D24" s="15" t="s">
        <v>6</v>
      </c>
      <c r="E24" s="15" t="s">
        <v>115</v>
      </c>
      <c r="F24" s="39">
        <v>13.169955026358366</v>
      </c>
      <c r="G24" s="39">
        <v>24.186164151788468</v>
      </c>
      <c r="H24" s="15">
        <v>218</v>
      </c>
      <c r="I24" s="15">
        <v>216</v>
      </c>
      <c r="J24" s="24"/>
      <c r="K24" s="21"/>
      <c r="L24" s="18">
        <v>0.25</v>
      </c>
      <c r="M24" s="7">
        <v>872</v>
      </c>
      <c r="N24" s="7">
        <v>880</v>
      </c>
      <c r="O24" s="7">
        <v>216</v>
      </c>
      <c r="P24" s="7">
        <v>655.9266055045872</v>
      </c>
      <c r="Q24" s="20">
        <v>3</v>
      </c>
      <c r="R24" s="10">
        <v>22</v>
      </c>
      <c r="S24" s="72">
        <v>5</v>
      </c>
      <c r="T24" s="72">
        <v>20</v>
      </c>
      <c r="U24" s="36">
        <v>25</v>
      </c>
      <c r="V24" s="19">
        <v>20</v>
      </c>
      <c r="W24" s="19">
        <v>10</v>
      </c>
      <c r="X24" s="19">
        <v>155</v>
      </c>
    </row>
    <row r="25" spans="1:24" x14ac:dyDescent="0.2">
      <c r="A25" s="15">
        <v>1268</v>
      </c>
      <c r="B25" s="16"/>
      <c r="C25" s="27" t="s">
        <v>32</v>
      </c>
      <c r="D25" s="15" t="s">
        <v>7</v>
      </c>
      <c r="E25" s="15" t="s">
        <v>116</v>
      </c>
      <c r="F25" s="39">
        <v>13.169955026358366</v>
      </c>
      <c r="G25" s="39">
        <v>23.79475878542733</v>
      </c>
      <c r="H25" s="15">
        <v>76</v>
      </c>
      <c r="I25" s="15">
        <v>62</v>
      </c>
      <c r="J25" s="24"/>
      <c r="K25" s="21"/>
      <c r="L25" s="18">
        <v>0.25</v>
      </c>
      <c r="M25" s="7">
        <v>304</v>
      </c>
      <c r="N25" s="7">
        <v>880</v>
      </c>
      <c r="O25" s="7">
        <v>216</v>
      </c>
      <c r="P25" s="7">
        <v>655.9266055045872</v>
      </c>
      <c r="Q25" s="20">
        <v>3</v>
      </c>
      <c r="R25" s="10">
        <v>22</v>
      </c>
      <c r="S25" s="72">
        <v>5</v>
      </c>
      <c r="T25" s="72">
        <v>20</v>
      </c>
      <c r="U25" s="36">
        <v>25</v>
      </c>
      <c r="V25" s="19">
        <v>20</v>
      </c>
      <c r="W25" s="19">
        <v>10</v>
      </c>
      <c r="X25" s="19">
        <v>155</v>
      </c>
    </row>
    <row r="26" spans="1:24" x14ac:dyDescent="0.2">
      <c r="A26" s="15">
        <v>1248</v>
      </c>
      <c r="B26" s="16"/>
      <c r="C26" s="27" t="s">
        <v>26</v>
      </c>
      <c r="D26" s="15" t="s">
        <v>6</v>
      </c>
      <c r="E26" s="15" t="s">
        <v>117</v>
      </c>
      <c r="F26" s="39">
        <v>22.564428417477757</v>
      </c>
      <c r="G26" s="39">
        <v>46.66141788505373</v>
      </c>
      <c r="H26" s="15">
        <v>399</v>
      </c>
      <c r="I26" s="15">
        <v>262</v>
      </c>
      <c r="J26" s="24"/>
      <c r="K26" s="21"/>
      <c r="L26" s="18">
        <v>0.9</v>
      </c>
      <c r="M26" s="7">
        <v>443.33333333333331</v>
      </c>
      <c r="N26" s="7">
        <v>450</v>
      </c>
      <c r="O26" s="7">
        <v>262</v>
      </c>
      <c r="P26" s="7">
        <v>33.488721804511279</v>
      </c>
      <c r="Q26" s="20">
        <v>4</v>
      </c>
      <c r="R26" s="10">
        <v>1</v>
      </c>
      <c r="S26" s="72">
        <v>1</v>
      </c>
      <c r="T26" s="72">
        <v>2</v>
      </c>
      <c r="U26" s="36">
        <v>3</v>
      </c>
      <c r="V26" s="19">
        <v>2.4000000000000004</v>
      </c>
      <c r="W26" s="19">
        <v>1.2000000000000002</v>
      </c>
      <c r="X26" s="19">
        <v>18.599999999999998</v>
      </c>
    </row>
    <row r="27" spans="1:24" x14ac:dyDescent="0.2">
      <c r="A27" s="15">
        <v>1249</v>
      </c>
      <c r="B27" s="16"/>
      <c r="C27" s="27" t="s">
        <v>26</v>
      </c>
      <c r="D27" s="15" t="s">
        <v>7</v>
      </c>
      <c r="E27" s="15" t="s">
        <v>118</v>
      </c>
      <c r="F27" s="39">
        <v>22.564428417477757</v>
      </c>
      <c r="G27" s="39">
        <v>44.189632377489701</v>
      </c>
      <c r="H27" s="15">
        <v>8</v>
      </c>
      <c r="I27" s="15">
        <v>7</v>
      </c>
      <c r="J27" s="26"/>
      <c r="K27" s="21"/>
      <c r="L27" s="18">
        <v>0.9</v>
      </c>
      <c r="M27" s="7">
        <v>8.8888888888888893</v>
      </c>
      <c r="N27" s="7">
        <v>450</v>
      </c>
      <c r="O27" s="7">
        <v>262</v>
      </c>
      <c r="P27" s="7">
        <v>33.488721804511279</v>
      </c>
      <c r="Q27" s="20">
        <v>4</v>
      </c>
      <c r="R27" s="10">
        <v>1</v>
      </c>
      <c r="S27" s="72">
        <v>1</v>
      </c>
      <c r="T27" s="72">
        <v>2</v>
      </c>
      <c r="U27" s="36">
        <v>3</v>
      </c>
      <c r="V27" s="19">
        <v>2.4000000000000004</v>
      </c>
      <c r="W27" s="19">
        <v>1.2000000000000002</v>
      </c>
      <c r="X27" s="19">
        <v>18.599999999999998</v>
      </c>
    </row>
    <row r="28" spans="1:24" x14ac:dyDescent="0.2">
      <c r="A28" s="15">
        <v>1274</v>
      </c>
      <c r="B28" s="16"/>
      <c r="C28" s="27" t="s">
        <v>33</v>
      </c>
      <c r="D28" s="15" t="s">
        <v>6</v>
      </c>
      <c r="E28" s="15" t="s">
        <v>119</v>
      </c>
      <c r="F28" s="39">
        <v>12.662941557355225</v>
      </c>
      <c r="G28" s="39">
        <v>23.205448381496325</v>
      </c>
      <c r="H28" s="15">
        <v>119</v>
      </c>
      <c r="I28" s="15">
        <v>99</v>
      </c>
      <c r="J28" s="24"/>
      <c r="K28" s="28"/>
      <c r="L28" s="18">
        <v>0.4</v>
      </c>
      <c r="M28" s="7">
        <v>297.5</v>
      </c>
      <c r="N28" s="7">
        <v>300</v>
      </c>
      <c r="O28" s="7">
        <v>99</v>
      </c>
      <c r="P28" s="7">
        <v>150.57983193277312</v>
      </c>
      <c r="Q28" s="20">
        <v>1</v>
      </c>
      <c r="R28" s="10">
        <v>5</v>
      </c>
      <c r="S28" s="72">
        <v>2</v>
      </c>
      <c r="T28" s="72">
        <v>6</v>
      </c>
      <c r="U28" s="36">
        <v>8</v>
      </c>
      <c r="V28" s="19">
        <v>6</v>
      </c>
      <c r="W28" s="19">
        <v>4</v>
      </c>
      <c r="X28" s="19">
        <v>50</v>
      </c>
    </row>
    <row r="29" spans="1:24" x14ac:dyDescent="0.2">
      <c r="A29" s="15">
        <v>1271</v>
      </c>
      <c r="B29" s="16"/>
      <c r="C29" s="27" t="s">
        <v>33</v>
      </c>
      <c r="D29" s="15" t="s">
        <v>7</v>
      </c>
      <c r="E29" s="15" t="s">
        <v>120</v>
      </c>
      <c r="F29" s="39">
        <v>12.282440251670778</v>
      </c>
      <c r="G29" s="39">
        <v>21.894426288242848</v>
      </c>
      <c r="H29" s="15">
        <v>6</v>
      </c>
      <c r="I29" s="15">
        <v>6</v>
      </c>
      <c r="J29" s="24"/>
      <c r="K29" s="28"/>
      <c r="L29" s="18">
        <v>0.4</v>
      </c>
      <c r="M29" s="7">
        <v>15</v>
      </c>
      <c r="N29" s="7">
        <v>300</v>
      </c>
      <c r="O29" s="7">
        <v>99</v>
      </c>
      <c r="P29" s="7">
        <v>150.57983193277312</v>
      </c>
      <c r="Q29" s="20">
        <v>1</v>
      </c>
      <c r="R29" s="10">
        <v>5</v>
      </c>
      <c r="S29" s="72">
        <v>2</v>
      </c>
      <c r="T29" s="72">
        <v>6</v>
      </c>
      <c r="U29" s="36">
        <v>8</v>
      </c>
      <c r="V29" s="19">
        <v>6</v>
      </c>
      <c r="W29" s="19">
        <v>4</v>
      </c>
      <c r="X29" s="19">
        <v>50</v>
      </c>
    </row>
    <row r="30" spans="1:24" x14ac:dyDescent="0.2">
      <c r="A30" s="31"/>
      <c r="B30" s="32"/>
      <c r="C30" s="37" t="s">
        <v>37</v>
      </c>
      <c r="D30" s="15" t="s">
        <v>6</v>
      </c>
      <c r="E30" s="15" t="s">
        <v>121</v>
      </c>
      <c r="F30" s="15">
        <v>5.5</v>
      </c>
      <c r="G30" s="15">
        <v>14</v>
      </c>
      <c r="H30" s="15">
        <v>300</v>
      </c>
      <c r="I30" s="15">
        <v>297</v>
      </c>
      <c r="J30" s="24"/>
      <c r="K30" s="33"/>
      <c r="L30" s="34">
        <v>0.2</v>
      </c>
      <c r="M30" s="35">
        <v>1500</v>
      </c>
      <c r="N30" s="35">
        <v>1500</v>
      </c>
      <c r="O30" s="30">
        <v>297</v>
      </c>
      <c r="P30" s="7">
        <v>1188</v>
      </c>
      <c r="Q30" s="20">
        <v>4</v>
      </c>
      <c r="R30" s="10">
        <v>40</v>
      </c>
      <c r="S30" s="72">
        <v>6</v>
      </c>
      <c r="T30" s="72">
        <v>40</v>
      </c>
      <c r="U30" s="36">
        <v>46</v>
      </c>
      <c r="V30" s="19">
        <v>34.5</v>
      </c>
      <c r="W30" s="19">
        <v>23</v>
      </c>
      <c r="X30" s="19">
        <v>287.5</v>
      </c>
    </row>
    <row r="31" spans="1:24" x14ac:dyDescent="0.2">
      <c r="A31" s="31"/>
      <c r="B31" s="32"/>
      <c r="C31" s="37" t="s">
        <v>37</v>
      </c>
      <c r="D31" s="15" t="s">
        <v>7</v>
      </c>
      <c r="E31" s="15" t="s">
        <v>122</v>
      </c>
      <c r="F31" s="15">
        <v>5.5</v>
      </c>
      <c r="G31" s="15">
        <v>14</v>
      </c>
      <c r="H31" s="15">
        <v>265</v>
      </c>
      <c r="I31" s="15">
        <v>262</v>
      </c>
      <c r="J31" s="24"/>
      <c r="K31" s="33"/>
      <c r="L31" s="34">
        <v>0.25</v>
      </c>
      <c r="M31" s="35">
        <v>1060</v>
      </c>
      <c r="N31" s="35">
        <v>1500</v>
      </c>
      <c r="O31" s="30">
        <v>297</v>
      </c>
      <c r="P31" s="7">
        <v>1188</v>
      </c>
      <c r="Q31" s="20">
        <v>4</v>
      </c>
      <c r="R31" s="10">
        <v>40</v>
      </c>
      <c r="S31" s="72">
        <v>6</v>
      </c>
      <c r="T31" s="72">
        <v>40</v>
      </c>
      <c r="U31" s="36">
        <v>46</v>
      </c>
      <c r="V31" s="19">
        <v>34.5</v>
      </c>
      <c r="W31" s="19">
        <v>23</v>
      </c>
      <c r="X31" s="19">
        <v>287.5</v>
      </c>
    </row>
    <row r="32" spans="1:24" x14ac:dyDescent="0.2">
      <c r="A32" s="31"/>
      <c r="B32" s="32"/>
      <c r="C32" s="27" t="s">
        <v>38</v>
      </c>
      <c r="D32" s="15" t="s">
        <v>6</v>
      </c>
      <c r="E32" s="15" t="s">
        <v>123</v>
      </c>
      <c r="F32" s="15">
        <v>29</v>
      </c>
      <c r="G32" s="15">
        <v>46</v>
      </c>
      <c r="H32" s="15">
        <v>397</v>
      </c>
      <c r="I32" s="15">
        <v>244</v>
      </c>
      <c r="J32" s="24"/>
      <c r="K32" s="33"/>
      <c r="L32" s="34">
        <v>0.25</v>
      </c>
      <c r="M32" s="35">
        <v>1588</v>
      </c>
      <c r="N32" s="35">
        <v>1600</v>
      </c>
      <c r="O32" s="30">
        <v>244</v>
      </c>
      <c r="P32" s="7">
        <v>739.37531486146099</v>
      </c>
      <c r="Q32" s="20">
        <v>3</v>
      </c>
      <c r="R32" s="10">
        <v>25</v>
      </c>
      <c r="S32" s="72">
        <v>4</v>
      </c>
      <c r="T32" s="72">
        <v>20</v>
      </c>
      <c r="U32" s="36">
        <v>24</v>
      </c>
      <c r="V32" s="19">
        <v>18</v>
      </c>
      <c r="W32" s="19">
        <v>9.6000000000000014</v>
      </c>
      <c r="X32" s="19">
        <v>147.6</v>
      </c>
    </row>
    <row r="33" spans="1:24" x14ac:dyDescent="0.2">
      <c r="A33" s="31"/>
      <c r="B33" s="32"/>
      <c r="C33" s="27" t="s">
        <v>38</v>
      </c>
      <c r="D33" s="15" t="s">
        <v>7</v>
      </c>
      <c r="E33" s="15" t="s">
        <v>124</v>
      </c>
      <c r="F33" s="15">
        <v>29</v>
      </c>
      <c r="G33" s="15">
        <v>46</v>
      </c>
      <c r="H33" s="15">
        <v>305</v>
      </c>
      <c r="I33" s="15">
        <v>221</v>
      </c>
      <c r="J33" s="24"/>
      <c r="K33" s="33"/>
      <c r="L33" s="34">
        <v>0.25</v>
      </c>
      <c r="M33" s="35">
        <v>1220</v>
      </c>
      <c r="N33" s="35">
        <v>1600</v>
      </c>
      <c r="O33" s="30">
        <v>244</v>
      </c>
      <c r="P33" s="7">
        <v>739.37531486146099</v>
      </c>
      <c r="Q33" s="20">
        <v>3</v>
      </c>
      <c r="R33" s="10">
        <v>25</v>
      </c>
      <c r="S33" s="72">
        <v>4</v>
      </c>
      <c r="T33" s="72">
        <v>20</v>
      </c>
      <c r="U33" s="36">
        <v>24</v>
      </c>
      <c r="V33" s="19">
        <v>18</v>
      </c>
      <c r="W33" s="19">
        <v>9.6000000000000014</v>
      </c>
      <c r="X33" s="19">
        <v>147.6</v>
      </c>
    </row>
    <row r="34" spans="1:24" x14ac:dyDescent="0.2">
      <c r="A34" s="31"/>
      <c r="B34" s="32"/>
      <c r="C34" s="38" t="s">
        <v>39</v>
      </c>
      <c r="D34" s="15" t="s">
        <v>6</v>
      </c>
      <c r="E34" s="15" t="s">
        <v>125</v>
      </c>
      <c r="F34" s="15">
        <v>35</v>
      </c>
      <c r="G34" s="15">
        <v>75</v>
      </c>
      <c r="H34" s="15">
        <v>276</v>
      </c>
      <c r="I34" s="15">
        <v>171</v>
      </c>
      <c r="J34" s="24"/>
      <c r="K34" s="33"/>
      <c r="L34" s="34">
        <v>0.5</v>
      </c>
      <c r="M34" s="35">
        <v>552</v>
      </c>
      <c r="N34" s="35">
        <v>550</v>
      </c>
      <c r="O34" s="30">
        <v>171</v>
      </c>
      <c r="P34" s="7">
        <v>169.7608695652174</v>
      </c>
      <c r="Q34" s="20">
        <v>2</v>
      </c>
      <c r="R34" s="10">
        <v>6</v>
      </c>
      <c r="S34" s="72">
        <v>2</v>
      </c>
      <c r="T34" s="72">
        <v>6</v>
      </c>
      <c r="U34" s="36">
        <v>8</v>
      </c>
      <c r="V34" s="19">
        <v>6</v>
      </c>
      <c r="W34" s="19">
        <v>3.2</v>
      </c>
      <c r="X34" s="19">
        <v>49.2</v>
      </c>
    </row>
    <row r="35" spans="1:24" x14ac:dyDescent="0.2">
      <c r="A35" s="31"/>
      <c r="B35" s="32"/>
      <c r="C35" s="38" t="s">
        <v>39</v>
      </c>
      <c r="D35" s="15" t="s">
        <v>7</v>
      </c>
      <c r="E35" s="15" t="s">
        <v>126</v>
      </c>
      <c r="F35" s="15">
        <v>35</v>
      </c>
      <c r="G35" s="15">
        <v>75</v>
      </c>
      <c r="H35" s="15">
        <v>148</v>
      </c>
      <c r="I35" s="15">
        <v>112</v>
      </c>
      <c r="J35" s="24"/>
      <c r="K35" s="33"/>
      <c r="L35" s="34">
        <v>0.5</v>
      </c>
      <c r="M35" s="35">
        <v>296</v>
      </c>
      <c r="N35" s="35">
        <v>550</v>
      </c>
      <c r="O35" s="30">
        <v>171</v>
      </c>
      <c r="P35" s="7">
        <v>169.7608695652174</v>
      </c>
      <c r="Q35" s="20">
        <v>2</v>
      </c>
      <c r="R35" s="10">
        <v>6</v>
      </c>
      <c r="S35" s="72">
        <v>2</v>
      </c>
      <c r="T35" s="72">
        <v>6</v>
      </c>
      <c r="U35" s="36">
        <v>8</v>
      </c>
      <c r="V35" s="19">
        <v>6</v>
      </c>
      <c r="W35" s="19">
        <v>3.2</v>
      </c>
      <c r="X35" s="19">
        <v>49.2</v>
      </c>
    </row>
    <row r="36" spans="1:24" x14ac:dyDescent="0.2">
      <c r="A36" s="31"/>
      <c r="B36" s="32"/>
      <c r="C36" s="37" t="s">
        <v>40</v>
      </c>
      <c r="D36" s="15" t="s">
        <v>6</v>
      </c>
      <c r="E36" s="15" t="s">
        <v>127</v>
      </c>
      <c r="F36" s="15">
        <v>36.5</v>
      </c>
      <c r="G36" s="15">
        <v>65</v>
      </c>
      <c r="H36" s="15">
        <v>230</v>
      </c>
      <c r="I36" s="15">
        <v>154</v>
      </c>
      <c r="J36" s="24"/>
      <c r="K36" s="33"/>
      <c r="L36" s="34">
        <v>0.5</v>
      </c>
      <c r="M36" s="35">
        <v>460</v>
      </c>
      <c r="N36" s="35">
        <v>460</v>
      </c>
      <c r="O36" s="30">
        <v>154</v>
      </c>
      <c r="P36" s="7">
        <v>154</v>
      </c>
      <c r="Q36" s="20">
        <v>2</v>
      </c>
      <c r="R36" s="10">
        <v>5</v>
      </c>
      <c r="S36" s="72">
        <v>3</v>
      </c>
      <c r="T36" s="72">
        <v>5</v>
      </c>
      <c r="U36" s="36">
        <v>8</v>
      </c>
      <c r="V36" s="19">
        <v>6</v>
      </c>
      <c r="W36" s="19">
        <v>3.2</v>
      </c>
      <c r="X36" s="19">
        <v>49.2</v>
      </c>
    </row>
    <row r="37" spans="1:24" x14ac:dyDescent="0.2">
      <c r="A37" s="31"/>
      <c r="B37" s="32"/>
      <c r="C37" s="37" t="s">
        <v>40</v>
      </c>
      <c r="D37" s="15" t="s">
        <v>7</v>
      </c>
      <c r="E37" s="15" t="s">
        <v>128</v>
      </c>
      <c r="F37" s="15">
        <v>36.5</v>
      </c>
      <c r="G37" s="15">
        <v>65</v>
      </c>
      <c r="H37" s="15">
        <v>180</v>
      </c>
      <c r="I37" s="15">
        <v>112</v>
      </c>
      <c r="J37" s="24"/>
      <c r="K37" s="33"/>
      <c r="L37" s="34">
        <v>0.5</v>
      </c>
      <c r="M37" s="35">
        <v>360</v>
      </c>
      <c r="N37" s="35">
        <v>460</v>
      </c>
      <c r="O37" s="30">
        <v>154</v>
      </c>
      <c r="P37" s="7">
        <v>154</v>
      </c>
      <c r="Q37" s="20">
        <v>2</v>
      </c>
      <c r="R37" s="10">
        <v>5</v>
      </c>
      <c r="S37" s="72">
        <v>3</v>
      </c>
      <c r="T37" s="72">
        <v>5</v>
      </c>
      <c r="U37" s="36">
        <v>8</v>
      </c>
      <c r="V37" s="19">
        <v>6</v>
      </c>
      <c r="W37" s="19">
        <v>3.2</v>
      </c>
      <c r="X37" s="19">
        <v>49.2</v>
      </c>
    </row>
    <row r="38" spans="1:24" x14ac:dyDescent="0.2">
      <c r="A38" s="31"/>
      <c r="B38" s="32"/>
      <c r="C38" s="27" t="s">
        <v>41</v>
      </c>
      <c r="D38" s="15" t="s">
        <v>6</v>
      </c>
      <c r="E38" s="15" t="s">
        <v>129</v>
      </c>
      <c r="F38" s="15">
        <v>21</v>
      </c>
      <c r="G38" s="15">
        <v>45</v>
      </c>
      <c r="H38" s="15">
        <v>252</v>
      </c>
      <c r="I38" s="15">
        <v>170</v>
      </c>
      <c r="J38" s="24"/>
      <c r="K38" s="33"/>
      <c r="L38" s="34">
        <v>0.5</v>
      </c>
      <c r="M38" s="35">
        <v>504</v>
      </c>
      <c r="N38" s="35">
        <v>500</v>
      </c>
      <c r="O38" s="30">
        <v>170</v>
      </c>
      <c r="P38" s="7">
        <v>167.30158730158729</v>
      </c>
      <c r="Q38" s="20">
        <v>2</v>
      </c>
      <c r="R38" s="10">
        <v>6</v>
      </c>
      <c r="S38" s="72">
        <v>2</v>
      </c>
      <c r="T38" s="72">
        <v>6</v>
      </c>
      <c r="U38" s="36">
        <v>8</v>
      </c>
      <c r="V38" s="19">
        <v>6</v>
      </c>
      <c r="W38" s="19">
        <v>3.2</v>
      </c>
      <c r="X38" s="19">
        <v>49.2</v>
      </c>
    </row>
    <row r="39" spans="1:24" x14ac:dyDescent="0.2">
      <c r="A39" s="31"/>
      <c r="B39" s="32"/>
      <c r="C39" s="27" t="s">
        <v>41</v>
      </c>
      <c r="D39" s="15" t="s">
        <v>7</v>
      </c>
      <c r="E39" s="15" t="s">
        <v>130</v>
      </c>
      <c r="F39" s="15">
        <v>21</v>
      </c>
      <c r="G39" s="15">
        <v>45</v>
      </c>
      <c r="H39" s="15">
        <v>197</v>
      </c>
      <c r="I39" s="15">
        <v>151</v>
      </c>
      <c r="J39" s="24"/>
      <c r="K39" s="33"/>
      <c r="L39" s="34">
        <v>0.5</v>
      </c>
      <c r="M39" s="35">
        <v>394</v>
      </c>
      <c r="N39" s="35">
        <v>500</v>
      </c>
      <c r="O39" s="30">
        <v>170</v>
      </c>
      <c r="P39" s="7">
        <v>167.30158730158729</v>
      </c>
      <c r="Q39" s="20">
        <v>2</v>
      </c>
      <c r="R39" s="10">
        <v>6</v>
      </c>
      <c r="S39" s="72">
        <v>2</v>
      </c>
      <c r="T39" s="72">
        <v>6</v>
      </c>
      <c r="U39" s="36">
        <v>8</v>
      </c>
      <c r="V39" s="19">
        <v>6</v>
      </c>
      <c r="W39" s="19">
        <v>3.2</v>
      </c>
      <c r="X39" s="19">
        <v>49.2</v>
      </c>
    </row>
    <row r="40" spans="1:24" x14ac:dyDescent="0.2">
      <c r="A40" s="103"/>
      <c r="B40" s="104"/>
      <c r="C40" s="105"/>
      <c r="D40" s="105"/>
      <c r="E40" s="105"/>
      <c r="F40" s="105"/>
      <c r="G40" s="105"/>
      <c r="H40" s="106">
        <v>12979</v>
      </c>
      <c r="I40" s="106">
        <v>9521</v>
      </c>
      <c r="J40" s="107"/>
      <c r="K40" s="107"/>
      <c r="L40" s="108"/>
      <c r="M40" s="109"/>
      <c r="N40" s="102">
        <v>53090</v>
      </c>
      <c r="O40" s="109"/>
      <c r="P40" s="109"/>
      <c r="Q40" s="109"/>
      <c r="R40" s="110"/>
      <c r="S40" s="110"/>
      <c r="T40" s="110"/>
      <c r="U40" s="110"/>
      <c r="V40" s="109"/>
      <c r="W40" s="109"/>
      <c r="X40" s="109"/>
    </row>
    <row r="41" spans="1:24" x14ac:dyDescent="0.2">
      <c r="A41" s="15"/>
      <c r="B41" s="15"/>
      <c r="C41" s="15"/>
      <c r="D41" s="15"/>
      <c r="E41" s="15"/>
      <c r="F41" s="15"/>
      <c r="G41" s="15"/>
      <c r="H41" s="15"/>
      <c r="I41" s="15"/>
      <c r="J41" s="25"/>
      <c r="K41" s="25"/>
      <c r="L41" s="2"/>
      <c r="O41" s="2"/>
      <c r="P41" s="12"/>
      <c r="Q41" s="12"/>
      <c r="R41" s="12"/>
      <c r="S41" s="12"/>
      <c r="T41" s="12"/>
      <c r="U41" s="12"/>
      <c r="V41" s="12"/>
      <c r="W41" s="12"/>
      <c r="X41" s="12"/>
    </row>
    <row r="42" spans="1:24" x14ac:dyDescent="0.2">
      <c r="A42" s="15"/>
      <c r="B42" s="15"/>
      <c r="C42" s="15"/>
      <c r="D42" s="15"/>
      <c r="E42" s="15"/>
      <c r="F42" s="15"/>
      <c r="G42" s="15"/>
      <c r="H42" s="15"/>
      <c r="I42" s="15"/>
      <c r="J42" s="2"/>
      <c r="K42" s="2"/>
      <c r="L42" s="2"/>
      <c r="M42" s="12"/>
      <c r="N42" s="12"/>
      <c r="O42" s="12"/>
      <c r="P42" s="12"/>
      <c r="Q42" s="23"/>
      <c r="R42" s="12"/>
      <c r="S42" s="12"/>
      <c r="T42" s="12"/>
      <c r="U42" s="12"/>
      <c r="V42" s="12"/>
      <c r="W42" s="12"/>
      <c r="X42" s="23"/>
    </row>
    <row r="43" spans="1:24" x14ac:dyDescent="0.2">
      <c r="A43" s="15"/>
      <c r="B43" s="27"/>
      <c r="C43" s="27"/>
      <c r="D43" s="15"/>
      <c r="E43" s="15"/>
      <c r="F43" s="15"/>
      <c r="G43" s="15"/>
      <c r="H43" s="27"/>
      <c r="I43" s="2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41"/>
      <c r="W43" s="23"/>
    </row>
    <row r="44" spans="1:24" x14ac:dyDescent="0.2">
      <c r="A44" s="15"/>
      <c r="C44" s="27"/>
      <c r="D44" s="15"/>
      <c r="E44" s="15"/>
      <c r="F44" s="15"/>
      <c r="G44" s="15"/>
      <c r="H44" s="27"/>
      <c r="I44" s="2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23"/>
      <c r="W44" s="23"/>
    </row>
    <row r="45" spans="1:24" x14ac:dyDescent="0.2">
      <c r="A45" s="15"/>
      <c r="C45" s="27"/>
      <c r="D45" s="15"/>
      <c r="E45" s="15"/>
      <c r="F45" s="15"/>
      <c r="G45" s="15"/>
      <c r="H45" s="27"/>
      <c r="I45" s="2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23"/>
      <c r="W45" s="23"/>
    </row>
    <row r="46" spans="1:24" x14ac:dyDescent="0.2">
      <c r="A46" s="15"/>
      <c r="C46" s="27"/>
      <c r="D46" s="15"/>
      <c r="E46" s="15"/>
      <c r="F46" s="15"/>
      <c r="G46" s="15"/>
      <c r="H46" s="27"/>
      <c r="I46" s="2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23"/>
      <c r="W46" s="23"/>
    </row>
    <row r="47" spans="1:24" x14ac:dyDescent="0.2">
      <c r="A47" s="15"/>
      <c r="C47" s="27"/>
      <c r="D47" s="15"/>
      <c r="E47" s="15"/>
      <c r="F47" s="15"/>
      <c r="G47" s="15"/>
      <c r="H47" s="27"/>
      <c r="I47" s="2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23"/>
      <c r="W47" s="23"/>
    </row>
    <row r="48" spans="1:24" x14ac:dyDescent="0.2">
      <c r="A48" s="15"/>
      <c r="C48" s="27"/>
      <c r="D48" s="15"/>
      <c r="E48" s="15"/>
      <c r="F48" s="15"/>
      <c r="G48" s="15"/>
      <c r="H48" s="27"/>
      <c r="I48" s="2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23"/>
      <c r="W48" s="23"/>
    </row>
    <row r="49" spans="1:23" x14ac:dyDescent="0.2">
      <c r="A49" s="15"/>
      <c r="C49" s="27"/>
      <c r="D49" s="15"/>
      <c r="E49" s="15"/>
      <c r="F49" s="15"/>
      <c r="G49" s="15"/>
      <c r="H49" s="27"/>
      <c r="I49" s="27"/>
      <c r="J49" s="12"/>
      <c r="K49" s="12"/>
      <c r="L49" s="12"/>
      <c r="M49" s="12"/>
      <c r="N49" s="12"/>
      <c r="O49" s="12"/>
      <c r="P49" s="12"/>
      <c r="Q49" s="40"/>
      <c r="R49" s="12"/>
      <c r="S49" s="12"/>
      <c r="T49" s="12"/>
      <c r="U49" s="12"/>
      <c r="V49" s="23"/>
      <c r="W49" s="23"/>
    </row>
    <row r="50" spans="1:23" x14ac:dyDescent="0.2">
      <c r="A50" s="15"/>
      <c r="C50" s="27"/>
      <c r="D50" s="15"/>
      <c r="E50" s="15"/>
      <c r="F50" s="15"/>
      <c r="G50" s="15"/>
      <c r="H50" s="27"/>
      <c r="I50" s="2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23"/>
      <c r="W50" s="23"/>
    </row>
    <row r="51" spans="1:23" x14ac:dyDescent="0.2">
      <c r="A51" s="15"/>
      <c r="C51" s="27"/>
      <c r="D51" s="15"/>
      <c r="E51" s="15"/>
      <c r="F51" s="15"/>
      <c r="G51" s="15"/>
      <c r="H51" s="27"/>
      <c r="I51" s="2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23"/>
      <c r="W51" s="23"/>
    </row>
    <row r="52" spans="1:23" x14ac:dyDescent="0.2">
      <c r="A52" s="15"/>
      <c r="C52" s="27"/>
      <c r="D52" s="15"/>
      <c r="E52" s="15"/>
      <c r="F52" s="15"/>
      <c r="G52" s="15"/>
      <c r="H52" s="27"/>
      <c r="I52" s="2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23"/>
      <c r="W52" s="23"/>
    </row>
    <row r="53" spans="1:23" x14ac:dyDescent="0.2">
      <c r="A53" s="15"/>
      <c r="C53" s="27"/>
      <c r="D53" s="15"/>
      <c r="E53" s="15"/>
      <c r="F53" s="15"/>
      <c r="G53" s="15"/>
      <c r="H53" s="27"/>
      <c r="I53" s="2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23"/>
      <c r="W53" s="23"/>
    </row>
    <row r="54" spans="1:23" x14ac:dyDescent="0.2">
      <c r="A54" s="15"/>
      <c r="C54" s="27"/>
      <c r="D54" s="15"/>
      <c r="E54" s="15"/>
      <c r="F54" s="15"/>
      <c r="G54" s="15"/>
      <c r="H54" s="27"/>
      <c r="I54" s="27"/>
      <c r="J54"/>
      <c r="K54"/>
      <c r="L54"/>
      <c r="M54"/>
      <c r="N54"/>
      <c r="O54"/>
      <c r="P54"/>
      <c r="Q54"/>
      <c r="R54"/>
      <c r="S54"/>
      <c r="T54"/>
      <c r="U54"/>
      <c r="V54" s="16"/>
      <c r="W54" s="16"/>
    </row>
    <row r="55" spans="1:23" x14ac:dyDescent="0.2">
      <c r="A55" s="15"/>
      <c r="C55" s="27"/>
      <c r="D55" s="15"/>
      <c r="E55" s="15"/>
      <c r="F55" s="15"/>
      <c r="G55" s="15"/>
      <c r="H55" s="27"/>
      <c r="I55" s="27"/>
      <c r="J55"/>
      <c r="K55"/>
      <c r="L55"/>
      <c r="M55"/>
      <c r="N55"/>
      <c r="O55"/>
      <c r="P55"/>
      <c r="Q55"/>
      <c r="R55"/>
      <c r="S55"/>
      <c r="T55"/>
      <c r="U55"/>
      <c r="V55" s="16"/>
      <c r="W55" s="16"/>
    </row>
    <row r="56" spans="1:23" x14ac:dyDescent="0.2">
      <c r="A56" s="15"/>
      <c r="C56" s="27"/>
      <c r="D56" s="15"/>
      <c r="E56" s="15"/>
      <c r="F56" s="15"/>
      <c r="G56" s="15"/>
      <c r="H56" s="27"/>
      <c r="I56" s="27"/>
      <c r="J56"/>
      <c r="K56"/>
      <c r="L56"/>
      <c r="M56"/>
      <c r="N56"/>
      <c r="O56"/>
      <c r="P56"/>
      <c r="Q56"/>
      <c r="R56"/>
      <c r="S56"/>
      <c r="T56"/>
      <c r="U56"/>
      <c r="V56" s="16"/>
      <c r="W56" s="16"/>
    </row>
    <row r="57" spans="1:23" x14ac:dyDescent="0.2">
      <c r="A57" s="15"/>
      <c r="C57" s="27"/>
      <c r="D57" s="15"/>
      <c r="E57" s="15"/>
      <c r="F57" s="15"/>
      <c r="G57" s="15"/>
      <c r="H57" s="27"/>
      <c r="I57" s="27"/>
      <c r="J57"/>
      <c r="K57"/>
      <c r="L57"/>
      <c r="M57"/>
      <c r="N57"/>
      <c r="O57"/>
      <c r="P57"/>
      <c r="Q57"/>
      <c r="R57"/>
      <c r="S57"/>
      <c r="T57"/>
      <c r="U57"/>
      <c r="V57" s="16"/>
      <c r="W57" s="16"/>
    </row>
    <row r="58" spans="1:23" x14ac:dyDescent="0.2">
      <c r="A58" s="15"/>
      <c r="C58" s="27"/>
      <c r="D58" s="15"/>
      <c r="E58" s="15"/>
      <c r="F58" s="15"/>
      <c r="G58" s="15"/>
      <c r="H58" s="27"/>
      <c r="I58" s="27"/>
      <c r="J58"/>
      <c r="K58"/>
      <c r="L58"/>
      <c r="M58"/>
      <c r="N58"/>
      <c r="O58"/>
      <c r="P58"/>
      <c r="Q58"/>
      <c r="R58"/>
      <c r="S58"/>
      <c r="T58"/>
      <c r="U58"/>
      <c r="V58" s="16"/>
      <c r="W58" s="16"/>
    </row>
    <row r="59" spans="1:23" x14ac:dyDescent="0.2">
      <c r="A59" s="15"/>
      <c r="C59" s="27"/>
      <c r="D59" s="15"/>
      <c r="E59" s="15"/>
      <c r="F59" s="15"/>
      <c r="G59" s="15"/>
      <c r="H59" s="27"/>
      <c r="I59" s="27"/>
      <c r="J59"/>
      <c r="K59"/>
      <c r="L59"/>
      <c r="M59"/>
      <c r="N59"/>
      <c r="O59"/>
      <c r="P59"/>
      <c r="Q59"/>
      <c r="R59"/>
      <c r="S59"/>
      <c r="T59"/>
      <c r="U59"/>
      <c r="V59" s="16"/>
      <c r="W59" s="16"/>
    </row>
    <row r="60" spans="1:23" x14ac:dyDescent="0.2">
      <c r="A60" s="15"/>
      <c r="C60" s="27"/>
      <c r="D60" s="15"/>
      <c r="E60" s="15"/>
      <c r="F60" s="15"/>
      <c r="G60" s="15"/>
      <c r="H60" s="27"/>
      <c r="I60" s="27"/>
      <c r="J60"/>
      <c r="K60"/>
      <c r="L60"/>
      <c r="M60"/>
      <c r="N60"/>
      <c r="O60"/>
      <c r="P60"/>
      <c r="Q60"/>
      <c r="R60"/>
      <c r="S60"/>
      <c r="T60"/>
      <c r="U60"/>
      <c r="V60" s="16"/>
      <c r="W60" s="16"/>
    </row>
    <row r="61" spans="1:23" x14ac:dyDescent="0.2">
      <c r="A61" s="15"/>
      <c r="C61" s="27"/>
      <c r="D61" s="15"/>
      <c r="E61" s="15"/>
      <c r="F61" s="15"/>
      <c r="G61" s="15"/>
      <c r="H61" s="27"/>
      <c r="I61" s="27"/>
      <c r="J61"/>
      <c r="K61"/>
      <c r="L61"/>
      <c r="M61"/>
      <c r="N61"/>
      <c r="O61"/>
      <c r="P61"/>
      <c r="Q61"/>
      <c r="R61"/>
      <c r="S61"/>
      <c r="T61"/>
      <c r="U61"/>
      <c r="V61" s="16"/>
      <c r="W61" s="16"/>
    </row>
    <row r="62" spans="1:23" x14ac:dyDescent="0.2">
      <c r="A62" s="15"/>
      <c r="C62" s="27"/>
      <c r="D62" s="15"/>
      <c r="E62" s="15"/>
      <c r="F62" s="15"/>
      <c r="G62" s="15"/>
      <c r="H62" s="27"/>
      <c r="I62" s="27"/>
      <c r="J62"/>
      <c r="K62"/>
      <c r="L62"/>
      <c r="M62"/>
      <c r="N62"/>
      <c r="O62"/>
      <c r="P62"/>
      <c r="Q62"/>
      <c r="R62"/>
      <c r="S62"/>
      <c r="T62"/>
      <c r="U62"/>
      <c r="V62" s="16"/>
      <c r="W62" s="16"/>
    </row>
    <row r="63" spans="1:23" x14ac:dyDescent="0.2">
      <c r="A63" s="15"/>
      <c r="C63" s="27"/>
      <c r="D63" s="15"/>
      <c r="E63" s="15"/>
      <c r="F63" s="15"/>
      <c r="G63" s="15"/>
      <c r="H63" s="27"/>
      <c r="I63" s="27"/>
      <c r="J63"/>
      <c r="K63"/>
      <c r="L63"/>
      <c r="M63"/>
      <c r="N63"/>
      <c r="O63"/>
      <c r="P63"/>
      <c r="Q63"/>
      <c r="R63"/>
      <c r="S63"/>
      <c r="T63"/>
      <c r="U63"/>
      <c r="V63" s="16"/>
      <c r="W63" s="16"/>
    </row>
    <row r="64" spans="1:23" x14ac:dyDescent="0.2">
      <c r="A64" s="15"/>
      <c r="C64" s="27"/>
      <c r="D64" s="15"/>
      <c r="E64" s="15"/>
      <c r="F64" s="15"/>
      <c r="G64" s="15"/>
      <c r="H64" s="27"/>
      <c r="I64" s="27"/>
      <c r="J64"/>
      <c r="K64"/>
      <c r="L64"/>
      <c r="M64"/>
      <c r="N64"/>
      <c r="O64"/>
      <c r="P64"/>
      <c r="Q64"/>
      <c r="R64"/>
      <c r="S64"/>
      <c r="T64"/>
      <c r="U64"/>
      <c r="V64" s="16"/>
      <c r="W64" s="16"/>
    </row>
    <row r="65" spans="1:24" x14ac:dyDescent="0.2">
      <c r="A65" s="15"/>
      <c r="C65" s="27"/>
      <c r="D65" s="15"/>
      <c r="E65" s="15"/>
      <c r="F65" s="15"/>
      <c r="G65" s="15"/>
      <c r="H65" s="27"/>
      <c r="I65" s="27"/>
      <c r="J65"/>
      <c r="K65"/>
      <c r="L65"/>
      <c r="M65"/>
      <c r="N65"/>
      <c r="O65"/>
      <c r="P65"/>
      <c r="Q65"/>
      <c r="R65"/>
      <c r="S65"/>
      <c r="T65"/>
      <c r="U65"/>
      <c r="V65" s="16"/>
      <c r="W65" s="16"/>
    </row>
    <row r="66" spans="1:24" x14ac:dyDescent="0.2">
      <c r="A66" s="15"/>
      <c r="C66" s="27"/>
      <c r="D66" s="15"/>
      <c r="E66" s="15"/>
      <c r="F66" s="15"/>
      <c r="G66" s="15"/>
      <c r="H66" s="27"/>
      <c r="I66" s="27"/>
      <c r="J66"/>
      <c r="K66"/>
      <c r="L66"/>
      <c r="M66"/>
      <c r="N66"/>
      <c r="O66"/>
      <c r="P66"/>
      <c r="Q66"/>
      <c r="R66"/>
      <c r="S66"/>
      <c r="T66"/>
      <c r="U66"/>
      <c r="V66" s="16"/>
      <c r="W66" s="16"/>
    </row>
    <row r="67" spans="1:24" x14ac:dyDescent="0.2">
      <c r="A67" s="15"/>
      <c r="C67" s="27"/>
      <c r="D67" s="15"/>
      <c r="E67" s="15"/>
      <c r="F67" s="15"/>
      <c r="G67" s="15"/>
      <c r="H67" s="27"/>
      <c r="I67" s="27"/>
      <c r="J67" s="2"/>
      <c r="K67" s="2"/>
      <c r="L67" s="2"/>
      <c r="N67"/>
      <c r="O67"/>
      <c r="P67"/>
      <c r="Q67"/>
      <c r="R67"/>
      <c r="S67"/>
      <c r="T67"/>
      <c r="U67"/>
      <c r="V67" s="16"/>
      <c r="W67" s="16"/>
    </row>
    <row r="68" spans="1:24" x14ac:dyDescent="0.2">
      <c r="A68" s="15"/>
      <c r="C68" s="27"/>
      <c r="D68" s="15"/>
      <c r="E68" s="15"/>
      <c r="F68" s="15"/>
      <c r="G68" s="15"/>
      <c r="H68" s="27"/>
      <c r="I68" s="27"/>
      <c r="J68" s="2"/>
      <c r="K68" s="2"/>
      <c r="L68" s="2"/>
      <c r="N68"/>
      <c r="O68"/>
      <c r="P68"/>
      <c r="Q68"/>
      <c r="R68"/>
      <c r="S68"/>
      <c r="T68"/>
      <c r="U68"/>
      <c r="V68" s="16"/>
      <c r="W68" s="16"/>
    </row>
    <row r="69" spans="1:24" x14ac:dyDescent="0.2">
      <c r="A69" s="15"/>
      <c r="C69" s="27"/>
      <c r="D69" s="15"/>
      <c r="E69" s="15"/>
      <c r="F69" s="15"/>
      <c r="G69" s="15"/>
      <c r="H69" s="27"/>
      <c r="I69" s="27"/>
      <c r="J69" s="2"/>
      <c r="K69" s="2"/>
      <c r="L69" s="2"/>
      <c r="O69" s="2"/>
      <c r="P69"/>
      <c r="Q69"/>
      <c r="R69"/>
      <c r="S69"/>
      <c r="T69"/>
      <c r="U69"/>
      <c r="V69" s="16"/>
      <c r="W69" s="16"/>
    </row>
    <row r="70" spans="1:24" x14ac:dyDescent="0.2">
      <c r="A70" s="15"/>
      <c r="C70" s="27"/>
      <c r="D70" s="15"/>
      <c r="E70" s="15"/>
      <c r="F70" s="15"/>
      <c r="G70" s="15"/>
      <c r="H70" s="27"/>
      <c r="I70" s="27"/>
      <c r="J70" s="2"/>
      <c r="K70" s="2"/>
      <c r="L70" s="2"/>
      <c r="O70" s="2"/>
      <c r="P70"/>
      <c r="Q70"/>
      <c r="R70"/>
      <c r="S70"/>
      <c r="T70"/>
      <c r="U70"/>
      <c r="V70" s="16"/>
      <c r="W70" s="16"/>
    </row>
    <row r="71" spans="1:24" x14ac:dyDescent="0.2">
      <c r="A71" s="15"/>
      <c r="C71" s="27"/>
      <c r="D71" s="15"/>
      <c r="E71" s="15"/>
      <c r="F71" s="15"/>
      <c r="G71" s="15"/>
      <c r="H71" s="27"/>
      <c r="I71" s="27"/>
      <c r="J71" s="2"/>
      <c r="K71" s="2"/>
      <c r="L71" s="2"/>
      <c r="O71" s="2"/>
      <c r="P71"/>
      <c r="Q71"/>
      <c r="R71"/>
      <c r="S71"/>
      <c r="T71"/>
      <c r="U71"/>
      <c r="V71" s="16"/>
      <c r="W71" s="16"/>
    </row>
    <row r="72" spans="1:24" x14ac:dyDescent="0.2">
      <c r="C72" s="15"/>
      <c r="D72" s="15"/>
      <c r="E72" s="15"/>
      <c r="F72" s="15"/>
      <c r="G72" s="15"/>
      <c r="I72" s="16"/>
      <c r="J72" s="2"/>
      <c r="K72" s="2"/>
      <c r="L72" s="2"/>
      <c r="O72" s="2"/>
      <c r="P72"/>
      <c r="Q72"/>
      <c r="R72"/>
      <c r="S72"/>
      <c r="T72"/>
      <c r="U72"/>
      <c r="V72" s="16"/>
      <c r="W72" s="16"/>
    </row>
    <row r="73" spans="1:24" x14ac:dyDescent="0.2">
      <c r="C73" s="15"/>
      <c r="D73" s="15"/>
      <c r="E73" s="15"/>
      <c r="F73" s="15"/>
      <c r="G73" s="15"/>
      <c r="I73" s="16"/>
      <c r="J73" s="2"/>
      <c r="K73" s="2"/>
      <c r="L73" s="2"/>
      <c r="O73" s="2"/>
      <c r="P73"/>
      <c r="Q73"/>
      <c r="R73"/>
      <c r="S73"/>
      <c r="T73"/>
      <c r="U73"/>
      <c r="V73" s="16"/>
      <c r="W73" s="16"/>
    </row>
    <row r="74" spans="1:24" x14ac:dyDescent="0.2">
      <c r="C74" s="15"/>
      <c r="D74" s="15"/>
      <c r="E74" s="15"/>
      <c r="F74" s="15"/>
      <c r="G74" s="15"/>
      <c r="J74" s="2"/>
      <c r="K74" s="2"/>
      <c r="L74" s="2"/>
      <c r="O74" s="2"/>
      <c r="P74" s="2"/>
      <c r="Q74"/>
      <c r="R74"/>
      <c r="S74"/>
      <c r="T74"/>
      <c r="U74"/>
      <c r="V74"/>
      <c r="W74" s="16"/>
    </row>
    <row r="75" spans="1:24" x14ac:dyDescent="0.2">
      <c r="C75" s="15"/>
      <c r="D75" s="15"/>
      <c r="E75" s="15"/>
      <c r="F75" s="15"/>
      <c r="G75" s="15"/>
      <c r="J75" s="9"/>
      <c r="K75" s="2"/>
      <c r="L75" s="2"/>
      <c r="O75" s="2"/>
      <c r="P75" s="2"/>
      <c r="R75"/>
      <c r="S75"/>
      <c r="T75"/>
      <c r="U75"/>
      <c r="V75"/>
      <c r="W75"/>
    </row>
    <row r="76" spans="1:24" x14ac:dyDescent="0.2">
      <c r="C76" s="15"/>
      <c r="D76" s="15"/>
      <c r="E76" s="15"/>
      <c r="F76" s="15"/>
      <c r="G76" s="15"/>
      <c r="J76" s="1"/>
      <c r="K76" s="2"/>
      <c r="L76" s="2"/>
      <c r="M76" s="9"/>
      <c r="N76" s="9"/>
      <c r="O76" s="2"/>
      <c r="P76" s="2"/>
      <c r="V76"/>
      <c r="W76"/>
      <c r="X76" s="16"/>
    </row>
    <row r="77" spans="1:24" x14ac:dyDescent="0.2">
      <c r="C77" s="15"/>
      <c r="D77" s="15"/>
      <c r="E77" s="15"/>
      <c r="F77" s="15"/>
      <c r="G77" s="15"/>
      <c r="J77" s="1"/>
      <c r="K77" s="2"/>
      <c r="L77" s="2"/>
      <c r="M77" s="9"/>
      <c r="N77" s="9"/>
      <c r="O77" s="2"/>
      <c r="P77" s="2"/>
      <c r="V77"/>
      <c r="W77"/>
      <c r="X77" s="16"/>
    </row>
    <row r="78" spans="1:24" x14ac:dyDescent="0.2">
      <c r="C78" s="15"/>
      <c r="D78" s="15"/>
      <c r="E78" s="15"/>
      <c r="F78" s="15"/>
      <c r="G78" s="15"/>
      <c r="J78" s="1"/>
      <c r="K78" s="2"/>
      <c r="L78" s="2"/>
      <c r="M78" s="9"/>
      <c r="N78" s="9"/>
      <c r="O78" s="2"/>
      <c r="P78" s="2"/>
      <c r="V78"/>
      <c r="W78"/>
      <c r="X78" s="16"/>
    </row>
    <row r="79" spans="1:24" x14ac:dyDescent="0.2">
      <c r="C79" s="15"/>
      <c r="D79" s="15"/>
      <c r="E79" s="15"/>
      <c r="F79" s="15"/>
      <c r="G79" s="15"/>
      <c r="J79" s="1"/>
      <c r="K79" s="2"/>
      <c r="L79" s="2"/>
      <c r="M79" s="9"/>
      <c r="N79" s="9"/>
      <c r="O79" s="2"/>
      <c r="P79" s="2"/>
      <c r="V79"/>
      <c r="W79"/>
      <c r="X79" s="16"/>
    </row>
    <row r="80" spans="1:24" x14ac:dyDescent="0.2">
      <c r="C80" s="15"/>
      <c r="D80" s="15"/>
      <c r="E80" s="15"/>
      <c r="F80" s="15"/>
      <c r="G80" s="15"/>
    </row>
    <row r="81" spans="3:7" x14ac:dyDescent="0.2">
      <c r="C81" s="15"/>
      <c r="D81" s="15"/>
      <c r="E81" s="15"/>
      <c r="F81" s="15"/>
      <c r="G81" s="15"/>
    </row>
    <row r="82" spans="3:7" x14ac:dyDescent="0.2">
      <c r="C82" s="15"/>
      <c r="D82" s="15"/>
      <c r="E82" s="15"/>
      <c r="F82" s="15"/>
      <c r="G82" s="15"/>
    </row>
    <row r="83" spans="3:7" x14ac:dyDescent="0.2">
      <c r="C83" s="15"/>
      <c r="D83" s="15"/>
      <c r="E83" s="15"/>
      <c r="F83" s="15"/>
      <c r="G83" s="15"/>
    </row>
    <row r="84" spans="3:7" x14ac:dyDescent="0.2">
      <c r="C84" s="15"/>
      <c r="D84" s="15"/>
      <c r="E84" s="15"/>
      <c r="F84" s="15"/>
      <c r="G84" s="15"/>
    </row>
    <row r="85" spans="3:7" x14ac:dyDescent="0.2">
      <c r="C85" s="15"/>
      <c r="D85" s="15"/>
      <c r="E85" s="15"/>
      <c r="F85" s="15"/>
      <c r="G85" s="15"/>
    </row>
    <row r="86" spans="3:7" x14ac:dyDescent="0.2">
      <c r="C86" s="15"/>
      <c r="D86" s="15"/>
      <c r="E86" s="15"/>
      <c r="F86" s="15"/>
      <c r="G86" s="15"/>
    </row>
    <row r="87" spans="3:7" x14ac:dyDescent="0.2">
      <c r="C87" s="15"/>
      <c r="D87" s="15"/>
      <c r="E87" s="15"/>
      <c r="F87" s="15"/>
      <c r="G87" s="15"/>
    </row>
    <row r="88" spans="3:7" x14ac:dyDescent="0.2">
      <c r="C88" s="15"/>
      <c r="D88" s="15"/>
      <c r="E88" s="15"/>
      <c r="F88" s="15"/>
      <c r="G88" s="15"/>
    </row>
    <row r="89" spans="3:7" x14ac:dyDescent="0.2">
      <c r="C89" s="15"/>
      <c r="D89" s="15"/>
      <c r="E89" s="15"/>
      <c r="F89" s="15"/>
      <c r="G89" s="15"/>
    </row>
    <row r="90" spans="3:7" x14ac:dyDescent="0.2">
      <c r="C90" s="15"/>
      <c r="D90" s="15"/>
      <c r="E90" s="15"/>
      <c r="F90" s="15"/>
      <c r="G90" s="15"/>
    </row>
    <row r="91" spans="3:7" x14ac:dyDescent="0.2">
      <c r="C91" s="15"/>
      <c r="D91" s="15"/>
      <c r="E91" s="15"/>
      <c r="F91" s="15"/>
      <c r="G91" s="15"/>
    </row>
    <row r="92" spans="3:7" x14ac:dyDescent="0.2">
      <c r="C92" s="15"/>
      <c r="D92" s="15"/>
      <c r="E92" s="15"/>
      <c r="F92" s="15"/>
      <c r="G92" s="15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zoomScale="75" zoomScaleNormal="75" workbookViewId="0">
      <pane xSplit="3" ySplit="1" topLeftCell="G2" activePane="bottomRight" state="frozen"/>
      <selection activeCell="P40" sqref="P40:Q40"/>
      <selection pane="topRight" activeCell="P40" sqref="P40:Q40"/>
      <selection pane="bottomLeft" activeCell="P40" sqref="P40:Q40"/>
      <selection pane="bottomRight" activeCell="P40" sqref="P40:Q40"/>
    </sheetView>
  </sheetViews>
  <sheetFormatPr defaultRowHeight="12.75" x14ac:dyDescent="0.2"/>
  <cols>
    <col min="1" max="1" width="13.42578125" style="16" customWidth="1"/>
    <col min="2" max="2" width="10.28515625" style="16" customWidth="1"/>
    <col min="3" max="3" width="29.140625" style="16" bestFit="1" customWidth="1"/>
    <col min="4" max="5" width="10.85546875" style="16" customWidth="1"/>
    <col min="6" max="6" width="18.7109375" style="16" customWidth="1"/>
    <col min="7" max="7" width="19.140625" style="16" customWidth="1"/>
    <col min="8" max="8" width="14.85546875" style="16" customWidth="1"/>
    <col min="9" max="10" width="13.28515625" style="16" customWidth="1"/>
    <col min="11" max="11" width="18.85546875" style="16" bestFit="1" customWidth="1"/>
    <col min="12" max="12" width="13.85546875" style="16" bestFit="1" customWidth="1"/>
    <col min="13" max="13" width="15.7109375" style="16" customWidth="1"/>
    <col min="14" max="16" width="14.85546875" style="16" customWidth="1"/>
    <col min="17" max="17" width="16.140625" bestFit="1" customWidth="1"/>
    <col min="18" max="18" width="15" bestFit="1" customWidth="1"/>
    <col min="19" max="19" width="14.140625" bestFit="1" customWidth="1"/>
    <col min="20" max="20" width="13" bestFit="1" customWidth="1"/>
    <col min="21" max="21" width="9.85546875" bestFit="1" customWidth="1"/>
    <col min="25" max="25" width="26" bestFit="1" customWidth="1"/>
  </cols>
  <sheetData>
    <row r="1" spans="1:26" ht="44.25" customHeight="1" x14ac:dyDescent="0.2">
      <c r="A1" s="79" t="s">
        <v>0</v>
      </c>
      <c r="B1" s="79" t="s">
        <v>3</v>
      </c>
      <c r="C1" s="79" t="s">
        <v>4</v>
      </c>
      <c r="D1" s="79" t="s">
        <v>5</v>
      </c>
      <c r="E1" s="80" t="s">
        <v>1</v>
      </c>
      <c r="F1" s="79" t="s">
        <v>49</v>
      </c>
      <c r="G1" s="80" t="s">
        <v>48</v>
      </c>
      <c r="H1" s="80" t="s">
        <v>45</v>
      </c>
      <c r="I1" s="80" t="s">
        <v>57</v>
      </c>
      <c r="J1" s="80" t="s">
        <v>46</v>
      </c>
      <c r="K1" s="80" t="s">
        <v>47</v>
      </c>
      <c r="L1" s="80" t="s">
        <v>89</v>
      </c>
      <c r="M1" s="80" t="s">
        <v>90</v>
      </c>
      <c r="N1" s="80" t="s">
        <v>42</v>
      </c>
      <c r="O1" s="80" t="s">
        <v>43</v>
      </c>
      <c r="P1" s="80" t="s">
        <v>50</v>
      </c>
      <c r="Q1" s="80" t="s">
        <v>51</v>
      </c>
      <c r="R1" s="81" t="s">
        <v>85</v>
      </c>
      <c r="S1" s="81" t="s">
        <v>86</v>
      </c>
      <c r="T1" s="81" t="s">
        <v>87</v>
      </c>
      <c r="U1" s="81" t="s">
        <v>88</v>
      </c>
      <c r="Y1" s="88" t="s">
        <v>80</v>
      </c>
    </row>
    <row r="2" spans="1:26" x14ac:dyDescent="0.2">
      <c r="A2" s="46">
        <v>1265</v>
      </c>
      <c r="B2" s="47"/>
      <c r="C2" s="46" t="s">
        <v>31</v>
      </c>
      <c r="D2" s="46" t="s">
        <v>6</v>
      </c>
      <c r="E2" s="48">
        <f>VLOOKUP(C2&amp;" "&amp;D2,'Bacia 03'!E:Q,2,0)</f>
        <v>44.726169513538402</v>
      </c>
      <c r="F2" s="48">
        <f>VLOOKUP(C2&amp;" "&amp;D2,'Bacia 03'!E:Q,3,0)</f>
        <v>65.054025374877057</v>
      </c>
      <c r="G2" s="82">
        <f>VLOOKUP(C2&amp;" "&amp;D2,'Bacia 03'!E:S,15,0)</f>
        <v>3</v>
      </c>
      <c r="H2" s="83">
        <f>VLOOKUP(C2&amp;" "&amp;D2,'Bacia 03'!E:T,16,0)</f>
        <v>10</v>
      </c>
      <c r="I2" s="84">
        <f>VLOOKUP(C2&amp;" "&amp;D2,'Bacia 03'!E:X,20,0)</f>
        <v>78</v>
      </c>
      <c r="J2" s="85">
        <v>2</v>
      </c>
      <c r="K2" s="85">
        <f>ROUND((G2-J2)*$Z$2,0)</f>
        <v>2</v>
      </c>
      <c r="L2" s="85">
        <f>ROUND(H2*J2/G2,0)</f>
        <v>7</v>
      </c>
      <c r="M2" s="85">
        <f>ROUND((H2-L2)*$Z$2,0)</f>
        <v>6</v>
      </c>
      <c r="N2" s="86">
        <f>IF(J2=0,0,ROUND(IF($F2*2&lt;=120,$F2*2/(120/J2),(120/(120/J2)+($F2*2-120)/(720/L2))),0))</f>
        <v>2</v>
      </c>
      <c r="O2" s="86">
        <f>IF(K2=0,0,IF(ROUND(IF($F2*2&lt;=120,$F2*2/(120/K2),(120/(120/K2)+($F2*2-120)/(720/M2))),0)=0,1,ROUND(IF($F2*2&lt;=120,$F2*2/(120/K2),(120/(120/K2)+($F2*2-120)/(720/M2))),0)))</f>
        <v>2</v>
      </c>
      <c r="P2" s="86">
        <f>ROUND(5*(J2+L2)+(J2+L2)*VLOOKUP(C2,'Bacia 03'!C:W,20,0)/VLOOKUP(C2,'Bacia 03'!C:W,19,0)+(J2+L2)*VLOOKUP(C2,'Bacia 03'!C:W,21,0)/VLOOKUP(C2,'Bacia 03'!C:W,19,0),0)</f>
        <v>54</v>
      </c>
      <c r="Q2" s="90">
        <f>ROUND(5*(K2+M2)+(K2+M2)*VLOOKUP(C2,'Bacia 03'!C:W,20,0)/VLOOKUP(C2,'Bacia 03'!C:W,19,0)+(K2+M2)*VLOOKUP(C2,'Bacia 03'!C:W,21,0)/VLOOKUP(C2,'Bacia 03'!C:W,19,0),0)</f>
        <v>48</v>
      </c>
      <c r="R2" s="91">
        <f>P2*52*$E2*2</f>
        <v>251182.16798803167</v>
      </c>
      <c r="S2" s="93">
        <f>IF(R2=0,,R2/N2)</f>
        <v>125591.08399401583</v>
      </c>
      <c r="T2" s="87">
        <f>Q2*52*$E2*2</f>
        <v>223273.03821158371</v>
      </c>
      <c r="U2" s="87">
        <f>IF(T2=0,0,T2/O2)</f>
        <v>111636.51910579186</v>
      </c>
      <c r="Y2" s="89" t="s">
        <v>91</v>
      </c>
      <c r="Z2">
        <v>2</v>
      </c>
    </row>
    <row r="3" spans="1:26" x14ac:dyDescent="0.2">
      <c r="A3" s="46">
        <v>1266</v>
      </c>
      <c r="B3" s="47"/>
      <c r="C3" s="46" t="s">
        <v>31</v>
      </c>
      <c r="D3" s="46" t="s">
        <v>7</v>
      </c>
      <c r="E3" s="48">
        <f>VLOOKUP(C3&amp;" "&amp;D3,'Bacia 03'!E:Q,2,0)</f>
        <v>42.12692760117352</v>
      </c>
      <c r="F3" s="48">
        <f>VLOOKUP(C3&amp;" "&amp;D3,'Bacia 03'!E:Q,3,0)</f>
        <v>61.736812034431523</v>
      </c>
      <c r="G3" s="47"/>
      <c r="H3" s="47"/>
      <c r="I3" s="47"/>
      <c r="J3" s="50"/>
      <c r="K3" s="50"/>
      <c r="L3" s="50"/>
      <c r="M3" s="50"/>
      <c r="N3" s="52"/>
      <c r="O3" s="52"/>
      <c r="P3" s="57"/>
      <c r="Q3" s="57"/>
      <c r="R3" s="92"/>
      <c r="S3" s="94"/>
      <c r="T3" s="45"/>
      <c r="U3" s="45"/>
    </row>
    <row r="4" spans="1:26" x14ac:dyDescent="0.2">
      <c r="A4" s="46">
        <v>1259</v>
      </c>
      <c r="B4" s="47"/>
      <c r="C4" s="46" t="s">
        <v>28</v>
      </c>
      <c r="D4" s="46" t="s">
        <v>6</v>
      </c>
      <c r="E4" s="48">
        <f>VLOOKUP(C4&amp;" "&amp;D4,'Bacia 03'!E:Q,2,0)</f>
        <v>21.391462070751004</v>
      </c>
      <c r="F4" s="48">
        <f>VLOOKUP(C4&amp;" "&amp;D4,'Bacia 03'!E:Q,3,0)</f>
        <v>46.332913938843255</v>
      </c>
      <c r="G4" s="82">
        <f>VLOOKUP(C4&amp;" "&amp;D4,'Bacia 03'!E:S,15,0)</f>
        <v>6</v>
      </c>
      <c r="H4" s="83">
        <f>VLOOKUP(C4&amp;" "&amp;D4,'Bacia 03'!E:T,16,0)</f>
        <v>32</v>
      </c>
      <c r="I4" s="84">
        <f>VLOOKUP(C4&amp;" "&amp;D4,'Bacia 03'!E:X,20,0)</f>
        <v>237.5</v>
      </c>
      <c r="J4" s="85">
        <v>4</v>
      </c>
      <c r="K4" s="85">
        <f>ROUND((G4-J4)*$Z$2,0)</f>
        <v>4</v>
      </c>
      <c r="L4" s="85">
        <f>ROUND(H4*J4/G4,0)</f>
        <v>21</v>
      </c>
      <c r="M4" s="85">
        <f>ROUND((H4-L4)*$Z$2,0)</f>
        <v>22</v>
      </c>
      <c r="N4" s="86">
        <f>IF(J4=0,0,ROUND(IF($F4*2&lt;=120,$F4*2/(120/J4),(120/(120/J4)+($F4*2-120)/(720/L4))),0))</f>
        <v>3</v>
      </c>
      <c r="O4" s="86">
        <f>IF(K4=0,0,IF(ROUND(IF($F4*2&lt;=120,$F4*2/(120/K4),(120/(120/K4)+($F4*2-120)/(720/M4))),0)=0,1,ROUND(IF($F4*2&lt;=120,$F4*2/(120/K4),(120/(120/K4)+($F4*2-120)/(720/M4))),0)))</f>
        <v>3</v>
      </c>
      <c r="P4" s="86">
        <f>ROUND(5*(J4+L4)+(J4+L4)*VLOOKUP(C4,'Bacia 03'!C:W,20,0)/VLOOKUP(C4,'Bacia 03'!C:W,19,0)+(J4+L4)*VLOOKUP(C4,'Bacia 03'!C:W,21,0)/VLOOKUP(C4,'Bacia 03'!C:W,19,0),0)</f>
        <v>156</v>
      </c>
      <c r="Q4" s="90">
        <f>ROUND(5*(K4+M4)+(K4+M4)*VLOOKUP(C4,'Bacia 03'!C:W,20,0)/VLOOKUP(C4,'Bacia 03'!C:W,19,0)+(K4+M4)*VLOOKUP(C4,'Bacia 03'!C:W,21,0)/VLOOKUP(C4,'Bacia 03'!C:W,19,0),0)</f>
        <v>163</v>
      </c>
      <c r="R4" s="91">
        <f>P4*52*$E4*2</f>
        <v>347055.08063586429</v>
      </c>
      <c r="S4" s="93">
        <f>IF(R4=0,,R4/N4)</f>
        <v>115685.02687862143</v>
      </c>
      <c r="T4" s="87">
        <f>Q4*52*$E4*2</f>
        <v>362628.06502337102</v>
      </c>
      <c r="U4" s="87">
        <f>IF(T4=0,0,T4/O4)</f>
        <v>120876.02167445701</v>
      </c>
    </row>
    <row r="5" spans="1:26" x14ac:dyDescent="0.2">
      <c r="A5" s="46">
        <v>1260</v>
      </c>
      <c r="B5" s="47"/>
      <c r="C5" s="46" t="s">
        <v>28</v>
      </c>
      <c r="D5" s="46" t="s">
        <v>7</v>
      </c>
      <c r="E5" s="48">
        <f>VLOOKUP(C5&amp;" "&amp;D5,'Bacia 03'!E:Q,2,0)</f>
        <v>19.857567949104123</v>
      </c>
      <c r="F5" s="48">
        <f>VLOOKUP(C5&amp;" "&amp;D5,'Bacia 03'!E:Q,3,0)</f>
        <v>43.378173763025544</v>
      </c>
      <c r="G5" s="47"/>
      <c r="H5" s="47"/>
      <c r="I5" s="47"/>
      <c r="J5" s="50"/>
      <c r="K5" s="50"/>
      <c r="L5" s="50"/>
      <c r="M5" s="50"/>
      <c r="N5" s="52"/>
      <c r="O5" s="52"/>
      <c r="P5" s="57"/>
      <c r="Q5" s="57"/>
      <c r="R5" s="92"/>
      <c r="S5" s="94"/>
      <c r="T5" s="45"/>
      <c r="U5" s="45"/>
    </row>
    <row r="6" spans="1:26" x14ac:dyDescent="0.2">
      <c r="A6" s="46">
        <v>1261</v>
      </c>
      <c r="B6" s="47"/>
      <c r="C6" s="46" t="s">
        <v>29</v>
      </c>
      <c r="D6" s="46" t="s">
        <v>6</v>
      </c>
      <c r="E6" s="48">
        <f>VLOOKUP(C6&amp;" "&amp;D6,'Bacia 03'!E:Q,2,0)</f>
        <v>6.5</v>
      </c>
      <c r="F6" s="48">
        <f>VLOOKUP(C6&amp;" "&amp;D6,'Bacia 03'!E:Q,3,0)</f>
        <v>16</v>
      </c>
      <c r="G6" s="82">
        <f>VLOOKUP(C6&amp;" "&amp;D6,'Bacia 03'!E:S,15,0)</f>
        <v>19</v>
      </c>
      <c r="H6" s="83">
        <f>VLOOKUP(C6&amp;" "&amp;D6,'Bacia 03'!E:T,16,0)</f>
        <v>85</v>
      </c>
      <c r="I6" s="84">
        <f>VLOOKUP(C6&amp;" "&amp;D6,'Bacia 03'!E:X,20,0)</f>
        <v>639.6</v>
      </c>
      <c r="J6" s="85">
        <v>15</v>
      </c>
      <c r="K6" s="85">
        <f>ROUND((G6-J6)*$Z$2,0)</f>
        <v>8</v>
      </c>
      <c r="L6" s="85">
        <f>ROUND(H6*J6/G6,0)</f>
        <v>67</v>
      </c>
      <c r="M6" s="85">
        <f>ROUND((H6-L6)*$Z$2,0)</f>
        <v>36</v>
      </c>
      <c r="N6" s="86">
        <f>IF(J6=0,0,ROUND(IF($F6*2&lt;=120,$F6*2/(120/J6),(120/(120/J6)+($F6*2-120)/(720/L6))),0))</f>
        <v>4</v>
      </c>
      <c r="O6" s="86">
        <f>IF(K6=0,0,IF(ROUND(IF($F6*2&lt;=120,$F6*2/(120/K6),(120/(120/K6)+($F6*2-120)/(720/M6))),0)=0,1,ROUND(IF($F6*2&lt;=120,$F6*2/(120/K6),(120/(120/K6)+($F6*2-120)/(720/M6))),0)))</f>
        <v>2</v>
      </c>
      <c r="P6" s="86">
        <f>ROUND(5*(J6+L6)+(J6+L6)*VLOOKUP(C6,'Bacia 03'!C:W,20,0)/VLOOKUP(C6,'Bacia 03'!C:W,19,0)+(J6+L6)*VLOOKUP(C6,'Bacia 03'!C:W,21,0)/VLOOKUP(C6,'Bacia 03'!C:W,19,0),0)</f>
        <v>504</v>
      </c>
      <c r="Q6" s="90">
        <f>ROUND(5*(K6+M6)+(K6+M6)*VLOOKUP(C6,'Bacia 03'!C:W,20,0)/VLOOKUP(C6,'Bacia 03'!C:W,19,0)+(K6+M6)*VLOOKUP(C6,'Bacia 03'!C:W,21,0)/VLOOKUP(C6,'Bacia 03'!C:W,19,0),0)</f>
        <v>271</v>
      </c>
      <c r="R6" s="91">
        <f>P6*52*$E6*2</f>
        <v>340704</v>
      </c>
      <c r="S6" s="93">
        <f>IF(R6=0,,R6/N6)</f>
        <v>85176</v>
      </c>
      <c r="T6" s="87">
        <f>Q6*52*$E6*2</f>
        <v>183196</v>
      </c>
      <c r="U6" s="87">
        <f>IF(T6=0,0,T6/O6)</f>
        <v>91598</v>
      </c>
    </row>
    <row r="7" spans="1:26" x14ac:dyDescent="0.2">
      <c r="A7" s="46"/>
      <c r="B7" s="49"/>
      <c r="C7" s="46" t="s">
        <v>29</v>
      </c>
      <c r="D7" s="46" t="s">
        <v>7</v>
      </c>
      <c r="E7" s="46"/>
      <c r="F7" s="48"/>
      <c r="G7" s="47"/>
      <c r="H7" s="47"/>
      <c r="I7" s="47"/>
      <c r="J7" s="50"/>
      <c r="K7" s="50"/>
      <c r="L7" s="50"/>
      <c r="M7" s="50"/>
      <c r="N7" s="52"/>
      <c r="O7" s="52"/>
      <c r="P7" s="57"/>
      <c r="Q7" s="57"/>
      <c r="R7" s="92"/>
      <c r="S7" s="94"/>
      <c r="T7" s="45"/>
      <c r="U7" s="45"/>
    </row>
    <row r="8" spans="1:26" x14ac:dyDescent="0.2">
      <c r="A8" s="46">
        <v>1263</v>
      </c>
      <c r="B8" s="47"/>
      <c r="C8" s="46" t="s">
        <v>30</v>
      </c>
      <c r="D8" s="46" t="s">
        <v>6</v>
      </c>
      <c r="E8" s="48">
        <f>VLOOKUP(C8&amp;" "&amp;D8,'Bacia 03'!E:Q,2,0)</f>
        <v>6.5</v>
      </c>
      <c r="F8" s="48">
        <f>VLOOKUP(C8&amp;" "&amp;D8,'Bacia 03'!E:Q,3,0)</f>
        <v>16</v>
      </c>
      <c r="G8" s="82">
        <f>VLOOKUP(C8&amp;" "&amp;D8,'Bacia 03'!E:S,15,0)</f>
        <v>19</v>
      </c>
      <c r="H8" s="83">
        <f>VLOOKUP(C8&amp;" "&amp;D8,'Bacia 03'!E:T,16,0)</f>
        <v>85</v>
      </c>
      <c r="I8" s="84">
        <f>VLOOKUP(C8&amp;" "&amp;D8,'Bacia 03'!E:X,20,0)</f>
        <v>639.6</v>
      </c>
      <c r="J8" s="85">
        <v>15</v>
      </c>
      <c r="K8" s="85">
        <f>ROUND((G8-J8)*$Z$2,0)</f>
        <v>8</v>
      </c>
      <c r="L8" s="85">
        <f>ROUND(H8*J8/G8,0)</f>
        <v>67</v>
      </c>
      <c r="M8" s="85">
        <f>ROUND((H8-L8)*$Z$2,0)</f>
        <v>36</v>
      </c>
      <c r="N8" s="86">
        <f>IF(J8=0,0,ROUND(IF($F8*2&lt;=120,$F8*2/(120/J8),(120/(120/J8)+($F8*2-120)/(720/L8))),0))</f>
        <v>4</v>
      </c>
      <c r="O8" s="86">
        <f>IF(K8=0,0,IF(ROUND(IF($F8*2&lt;=120,$F8*2/(120/K8),(120/(120/K8)+($F8*2-120)/(720/M8))),0)=0,1,ROUND(IF($F8*2&lt;=120,$F8*2/(120/K8),(120/(120/K8)+($F8*2-120)/(720/M8))),0)))</f>
        <v>2</v>
      </c>
      <c r="P8" s="86">
        <f>ROUND(5*(J8+L8)+(J8+L8)*VLOOKUP(C8,'Bacia 03'!C:W,20,0)/VLOOKUP(C8,'Bacia 03'!C:W,19,0)+(J8+L8)*VLOOKUP(C8,'Bacia 03'!C:W,21,0)/VLOOKUP(C8,'Bacia 03'!C:W,19,0),0)</f>
        <v>504</v>
      </c>
      <c r="Q8" s="90">
        <f>ROUND(5*(K8+M8)+(K8+M8)*VLOOKUP(C8,'Bacia 03'!C:W,20,0)/VLOOKUP(C8,'Bacia 03'!C:W,19,0)+(K8+M8)*VLOOKUP(C8,'Bacia 03'!C:W,21,0)/VLOOKUP(C8,'Bacia 03'!C:W,19,0),0)</f>
        <v>271</v>
      </c>
      <c r="R8" s="91">
        <f>P8*52*$E8*2</f>
        <v>340704</v>
      </c>
      <c r="S8" s="93">
        <f>IF(R8=0,,R8/N8)</f>
        <v>85176</v>
      </c>
      <c r="T8" s="87">
        <f>Q8*52*$E8*2</f>
        <v>183196</v>
      </c>
      <c r="U8" s="87">
        <f>IF(T8=0,0,T8/O8)</f>
        <v>91598</v>
      </c>
    </row>
    <row r="9" spans="1:26" x14ac:dyDescent="0.2">
      <c r="A9" s="46"/>
      <c r="B9" s="49"/>
      <c r="C9" s="46" t="s">
        <v>30</v>
      </c>
      <c r="D9" s="46" t="s">
        <v>7</v>
      </c>
      <c r="E9" s="46"/>
      <c r="F9" s="48"/>
      <c r="G9" s="47"/>
      <c r="H9" s="47"/>
      <c r="I9" s="47"/>
      <c r="J9" s="50"/>
      <c r="K9" s="50"/>
      <c r="L9" s="50"/>
      <c r="M9" s="50"/>
      <c r="N9" s="52"/>
      <c r="O9" s="52"/>
      <c r="P9" s="57"/>
      <c r="Q9" s="57"/>
      <c r="R9" s="92"/>
      <c r="S9" s="94"/>
      <c r="T9" s="45"/>
      <c r="U9" s="45"/>
    </row>
    <row r="10" spans="1:26" x14ac:dyDescent="0.2">
      <c r="A10" s="46">
        <v>1246</v>
      </c>
      <c r="B10" s="47"/>
      <c r="C10" s="46" t="s">
        <v>25</v>
      </c>
      <c r="D10" s="46" t="s">
        <v>6</v>
      </c>
      <c r="E10" s="48">
        <f>VLOOKUP(C10&amp;" "&amp;D10,'Bacia 03'!E:Q,2,0)</f>
        <v>52</v>
      </c>
      <c r="F10" s="48">
        <f>VLOOKUP(C10&amp;" "&amp;D10,'Bacia 03'!E:Q,3,0)</f>
        <v>90</v>
      </c>
      <c r="G10" s="82">
        <f>VLOOKUP(C10&amp;" "&amp;D10,'Bacia 03'!E:S,15,0)</f>
        <v>1</v>
      </c>
      <c r="H10" s="83">
        <f>VLOOKUP(C10&amp;" "&amp;D10,'Bacia 03'!E:T,16,0)</f>
        <v>2</v>
      </c>
      <c r="I10" s="84">
        <f>VLOOKUP(C10&amp;" "&amp;D10,'Bacia 03'!E:X,20,0)</f>
        <v>18.599999999999998</v>
      </c>
      <c r="J10" s="85">
        <v>0</v>
      </c>
      <c r="K10" s="85">
        <f>ROUND((G10-J10)*$Z$2,0)</f>
        <v>2</v>
      </c>
      <c r="L10" s="85">
        <f>ROUND(H10*J10/G10,0)</f>
        <v>0</v>
      </c>
      <c r="M10" s="85">
        <f>ROUND((H10-L10)*$Z$2,0)</f>
        <v>4</v>
      </c>
      <c r="N10" s="86">
        <f>IF(J10=0,0,ROUND(IF($F10*2&lt;=120,$F10*2/(120/J10),(120/(120/J10)+($F10*2-120)/(720/L10))),0))</f>
        <v>0</v>
      </c>
      <c r="O10" s="86">
        <f>IF(K10=0,0,IF(ROUND(IF($F10*2&lt;=120,$F10*2/(120/K10),(120/(120/K10)+($F10*2-120)/(720/M10))),0)=0,1,ROUND(IF($F10*2&lt;=120,$F10*2/(120/K10),(120/(120/K10)+($F10*2-120)/(720/M10))),0)))</f>
        <v>2</v>
      </c>
      <c r="P10" s="86">
        <f>ROUND(5*(J10+L10)+(J10+L10)*VLOOKUP(C10,'Bacia 03'!C:W,20,0)/VLOOKUP(C10,'Bacia 03'!C:W,19,0)+(J10+L10)*VLOOKUP(C10,'Bacia 03'!C:W,21,0)/VLOOKUP(C10,'Bacia 03'!C:W,19,0),0)</f>
        <v>0</v>
      </c>
      <c r="Q10" s="90">
        <f>ROUND(5*(K10+M10)+(K10+M10)*VLOOKUP(C10,'Bacia 03'!C:W,20,0)/VLOOKUP(C10,'Bacia 03'!C:W,19,0)+(K10+M10)*VLOOKUP(C10,'Bacia 03'!C:W,21,0)/VLOOKUP(C10,'Bacia 03'!C:W,19,0),0)</f>
        <v>37</v>
      </c>
      <c r="R10" s="91">
        <f>P10*52*$E10*2</f>
        <v>0</v>
      </c>
      <c r="S10" s="93">
        <f>IF(R10=0,,R10/N10)</f>
        <v>0</v>
      </c>
      <c r="T10" s="87">
        <f>Q10*52*$E10*2</f>
        <v>200096</v>
      </c>
      <c r="U10" s="87">
        <f>IF(T10=0,0,T10/O10)</f>
        <v>100048</v>
      </c>
    </row>
    <row r="11" spans="1:26" x14ac:dyDescent="0.2">
      <c r="A11" s="46">
        <v>1247</v>
      </c>
      <c r="B11" s="47"/>
      <c r="C11" s="46" t="s">
        <v>25</v>
      </c>
      <c r="D11" s="46" t="s">
        <v>7</v>
      </c>
      <c r="E11" s="48">
        <f>VLOOKUP(C11&amp;" "&amp;D11,'Bacia 03'!E:Q,2,0)</f>
        <v>52</v>
      </c>
      <c r="F11" s="48">
        <f>VLOOKUP(C11&amp;" "&amp;D11,'Bacia 03'!E:Q,3,0)</f>
        <v>80</v>
      </c>
      <c r="G11" s="47"/>
      <c r="H11" s="47"/>
      <c r="I11" s="47"/>
      <c r="J11" s="50"/>
      <c r="K11" s="50"/>
      <c r="L11" s="50"/>
      <c r="M11" s="50"/>
      <c r="N11" s="52"/>
      <c r="O11" s="52"/>
      <c r="P11" s="57"/>
      <c r="Q11" s="57"/>
      <c r="R11" s="92"/>
      <c r="S11" s="94"/>
      <c r="T11" s="45"/>
      <c r="U11" s="45"/>
    </row>
    <row r="12" spans="1:26" x14ac:dyDescent="0.2">
      <c r="A12" s="46">
        <v>1280</v>
      </c>
      <c r="B12" s="47"/>
      <c r="C12" s="46" t="s">
        <v>36</v>
      </c>
      <c r="D12" s="46" t="s">
        <v>6</v>
      </c>
      <c r="E12" s="48">
        <f>VLOOKUP(C12&amp;" "&amp;D12,'Bacia 03'!E:Q,2,0)</f>
        <v>48.019157121423632</v>
      </c>
      <c r="F12" s="48">
        <f>VLOOKUP(C12&amp;" "&amp;D12,'Bacia 03'!E:Q,3,0)</f>
        <v>87.922069774243624</v>
      </c>
      <c r="G12" s="82">
        <f>VLOOKUP(C12&amp;" "&amp;D12,'Bacia 03'!E:S,15,0)</f>
        <v>2</v>
      </c>
      <c r="H12" s="83">
        <f>VLOOKUP(C12&amp;" "&amp;D12,'Bacia 03'!E:T,16,0)</f>
        <v>4</v>
      </c>
      <c r="I12" s="84">
        <f>VLOOKUP(C12&amp;" "&amp;D12,'Bacia 03'!E:X,20,0)</f>
        <v>37.199999999999996</v>
      </c>
      <c r="J12" s="85">
        <v>0</v>
      </c>
      <c r="K12" s="85">
        <f>ROUND((G12-J12)*$Z$2,0)</f>
        <v>4</v>
      </c>
      <c r="L12" s="85">
        <f>ROUND(H12*J12/G12,0)</f>
        <v>0</v>
      </c>
      <c r="M12" s="85">
        <f>ROUND((H12-L12)*$Z$2,0)</f>
        <v>8</v>
      </c>
      <c r="N12" s="86">
        <f>IF(J12=0,0,ROUND(IF($F12*2&lt;=120,$F12*2/(120/J12),(120/(120/J12)+($F12*2-120)/(720/L12))),0))</f>
        <v>0</v>
      </c>
      <c r="O12" s="86">
        <f>IF(K12=0,0,IF(ROUND(IF($F12*2&lt;=120,$F12*2/(120/K12),(120/(120/K12)+($F12*2-120)/(720/M12))),0)=0,1,ROUND(IF($F12*2&lt;=120,$F12*2/(120/K12),(120/(120/K12)+($F12*2-120)/(720/M12))),0)))</f>
        <v>5</v>
      </c>
      <c r="P12" s="86">
        <f>ROUND(5*(J12+L12)+(J12+L12)*VLOOKUP(C12,'Bacia 03'!C:W,20,0)/VLOOKUP(C12,'Bacia 03'!C:W,19,0)+(J12+L12)*VLOOKUP(C12,'Bacia 03'!C:W,21,0)/VLOOKUP(C12,'Bacia 03'!C:W,19,0),0)</f>
        <v>0</v>
      </c>
      <c r="Q12" s="90">
        <f>ROUND(5*(K12+M12)+(K12+M12)*VLOOKUP(C12,'Bacia 03'!C:W,20,0)/VLOOKUP(C12,'Bacia 03'!C:W,19,0)+(K12+M12)*VLOOKUP(C12,'Bacia 03'!C:W,21,0)/VLOOKUP(C12,'Bacia 03'!C:W,19,0),0)</f>
        <v>74</v>
      </c>
      <c r="R12" s="91">
        <f>P12*52*$E12*2</f>
        <v>0</v>
      </c>
      <c r="S12" s="93">
        <f>IF(R12=0,,R12/N12)</f>
        <v>0</v>
      </c>
      <c r="T12" s="87">
        <f>Q12*52*$E12*2</f>
        <v>369555.43320647627</v>
      </c>
      <c r="U12" s="87">
        <f>IF(T12=0,0,T12/O12)</f>
        <v>73911.08664129526</v>
      </c>
    </row>
    <row r="13" spans="1:26" x14ac:dyDescent="0.2">
      <c r="A13" s="46">
        <v>1279</v>
      </c>
      <c r="B13" s="47"/>
      <c r="C13" s="46" t="s">
        <v>36</v>
      </c>
      <c r="D13" s="46" t="s">
        <v>7</v>
      </c>
      <c r="E13" s="48">
        <f>VLOOKUP(C13&amp;" "&amp;D13,'Bacia 03'!E:Q,2,0)</f>
        <v>48.095982050988823</v>
      </c>
      <c r="F13" s="48">
        <f>VLOOKUP(C13&amp;" "&amp;D13,'Bacia 03'!E:Q,3,0)</f>
        <v>92.038093821399244</v>
      </c>
      <c r="G13" s="47"/>
      <c r="H13" s="47"/>
      <c r="I13" s="47"/>
      <c r="J13" s="50"/>
      <c r="K13" s="50"/>
      <c r="L13" s="50"/>
      <c r="M13" s="50"/>
      <c r="N13" s="52"/>
      <c r="O13" s="52"/>
      <c r="P13" s="57"/>
      <c r="Q13" s="57"/>
      <c r="R13" s="92"/>
      <c r="S13" s="94"/>
      <c r="T13" s="45"/>
      <c r="U13" s="45"/>
    </row>
    <row r="14" spans="1:26" x14ac:dyDescent="0.2">
      <c r="A14" s="46">
        <v>1272</v>
      </c>
      <c r="B14" s="47"/>
      <c r="C14" s="46" t="s">
        <v>34</v>
      </c>
      <c r="D14" s="46" t="s">
        <v>6</v>
      </c>
      <c r="E14" s="48">
        <v>20.5</v>
      </c>
      <c r="F14" s="48">
        <f>87/2</f>
        <v>43.5</v>
      </c>
      <c r="G14" s="82">
        <f>VLOOKUP(C14&amp;" "&amp;D14,'Bacia 03'!E:S,15,0)</f>
        <v>11</v>
      </c>
      <c r="H14" s="83">
        <f>VLOOKUP(C14&amp;" "&amp;D14,'Bacia 03'!E:T,16,0)</f>
        <v>70</v>
      </c>
      <c r="I14" s="84">
        <f>VLOOKUP(C14&amp;" "&amp;D14,'Bacia 03'!E:X,20,0)</f>
        <v>502.2</v>
      </c>
      <c r="J14" s="85">
        <v>8</v>
      </c>
      <c r="K14" s="85">
        <f>ROUND((G14-J14)*$Z$2,0)</f>
        <v>6</v>
      </c>
      <c r="L14" s="85">
        <f>ROUND(H14*J14/G14,0)</f>
        <v>51</v>
      </c>
      <c r="M14" s="85">
        <f>ROUND((H14-L14)*$Z$2,0)</f>
        <v>38</v>
      </c>
      <c r="N14" s="86">
        <f>IF(J14=0,0,ROUND(IF($F14*2&lt;=120,$F14*2/(120/J14),(120/(120/J14)+($F14*2-120)/(720/L14))),0))</f>
        <v>6</v>
      </c>
      <c r="O14" s="86">
        <f>IF(K14=0,0,IF(ROUND(IF($F14*2&lt;=120,$F14*2/(120/K14),(120/(120/K14)+($F14*2-120)/(720/M14))),0)=0,1,ROUND(IF($F14*2&lt;=120,$F14*2/(120/K14),(120/(120/K14)+($F14*2-120)/(720/M14))),0)))</f>
        <v>4</v>
      </c>
      <c r="P14" s="86">
        <f>ROUND(5*(J14+L14)+(J14+L14)*VLOOKUP(C14,'Bacia 03'!C:W,20,0)/VLOOKUP(C14,'Bacia 03'!C:W,19,0)+(J14+L14)*VLOOKUP(C14,'Bacia 03'!C:W,21,0)/VLOOKUP(C14,'Bacia 03'!C:W,19,0),0)</f>
        <v>366</v>
      </c>
      <c r="Q14" s="90">
        <f>ROUND(5*(K14+M14)+(K14+M14)*VLOOKUP(C14,'Bacia 03'!C:W,20,0)/VLOOKUP(C14,'Bacia 03'!C:W,19,0)+(K14+M14)*VLOOKUP(C14,'Bacia 03'!C:W,21,0)/VLOOKUP(C14,'Bacia 03'!C:W,19,0),0)</f>
        <v>273</v>
      </c>
      <c r="R14" s="91">
        <f>P14*52*$E14*2</f>
        <v>780312</v>
      </c>
      <c r="S14" s="93">
        <f>IF(R14=0,,R14/N14)</f>
        <v>130052</v>
      </c>
      <c r="T14" s="87">
        <f>Q14*52*$E14*2</f>
        <v>582036</v>
      </c>
      <c r="U14" s="87">
        <f>IF(T14=0,0,T14/O14)</f>
        <v>145509</v>
      </c>
    </row>
    <row r="15" spans="1:26" x14ac:dyDescent="0.2">
      <c r="A15" s="46"/>
      <c r="B15" s="49"/>
      <c r="C15" s="46" t="s">
        <v>34</v>
      </c>
      <c r="D15" s="46" t="s">
        <v>7</v>
      </c>
      <c r="E15" s="46"/>
      <c r="F15" s="48"/>
      <c r="G15" s="47"/>
      <c r="H15" s="47"/>
      <c r="I15" s="47"/>
      <c r="J15" s="50"/>
      <c r="K15" s="50"/>
      <c r="L15" s="50"/>
      <c r="M15" s="50"/>
      <c r="N15" s="52"/>
      <c r="O15" s="52"/>
      <c r="P15" s="57"/>
      <c r="Q15" s="57"/>
      <c r="R15" s="92"/>
      <c r="S15" s="94"/>
      <c r="T15" s="45"/>
      <c r="U15" s="45"/>
    </row>
    <row r="16" spans="1:26" x14ac:dyDescent="0.2">
      <c r="A16" s="46">
        <v>1273</v>
      </c>
      <c r="B16" s="47"/>
      <c r="C16" s="46" t="s">
        <v>35</v>
      </c>
      <c r="D16" s="46" t="s">
        <v>6</v>
      </c>
      <c r="E16" s="48">
        <v>20.5</v>
      </c>
      <c r="F16" s="48">
        <f>87/2</f>
        <v>43.5</v>
      </c>
      <c r="G16" s="82">
        <f>VLOOKUP(C16&amp;" "&amp;D16,'Bacia 03'!E:S,15,0)</f>
        <v>9</v>
      </c>
      <c r="H16" s="83">
        <f>VLOOKUP(C16&amp;" "&amp;D16,'Bacia 03'!E:T,16,0)</f>
        <v>60</v>
      </c>
      <c r="I16" s="84">
        <f>VLOOKUP(C16&amp;" "&amp;D16,'Bacia 03'!E:X,20,0)</f>
        <v>442.2</v>
      </c>
      <c r="J16" s="85">
        <v>7</v>
      </c>
      <c r="K16" s="85">
        <f>ROUND((G16-J16)*$Z$2,0)</f>
        <v>4</v>
      </c>
      <c r="L16" s="85">
        <f>ROUND(H16*J16/G16,0)</f>
        <v>47</v>
      </c>
      <c r="M16" s="85">
        <f>ROUND((H16-L16)*$Z$2,0)</f>
        <v>26</v>
      </c>
      <c r="N16" s="86">
        <f>IF(J16=0,0,ROUND(IF($F16*2&lt;=120,$F16*2/(120/J16),(120/(120/J16)+($F16*2-120)/(720/L16))),0))</f>
        <v>5</v>
      </c>
      <c r="O16" s="86">
        <f>IF(K16=0,0,IF(ROUND(IF($F16*2&lt;=120,$F16*2/(120/K16),(120/(120/K16)+($F16*2-120)/(720/M16))),0)=0,1,ROUND(IF($F16*2&lt;=120,$F16*2/(120/K16),(120/(120/K16)+($F16*2-120)/(720/M16))),0)))</f>
        <v>3</v>
      </c>
      <c r="P16" s="86">
        <f>ROUND(5*(J16+L16)+(J16+L16)*VLOOKUP(C16,'Bacia 03'!C:W,20,0)/VLOOKUP(C16,'Bacia 03'!C:W,19,0)+(J16+L16)*VLOOKUP(C16,'Bacia 03'!C:W,21,0)/VLOOKUP(C16,'Bacia 03'!C:W,19,0),0)</f>
        <v>346</v>
      </c>
      <c r="Q16" s="90">
        <f>ROUND(5*(K16+M16)+(K16+M16)*VLOOKUP(C16,'Bacia 03'!C:W,20,0)/VLOOKUP(C16,'Bacia 03'!C:W,19,0)+(K16+M16)*VLOOKUP(C16,'Bacia 03'!C:W,21,0)/VLOOKUP(C16,'Bacia 03'!C:W,19,0),0)</f>
        <v>192</v>
      </c>
      <c r="R16" s="91">
        <f>P16*52*$E16*2</f>
        <v>737672</v>
      </c>
      <c r="S16" s="93">
        <f>IF(R16=0,,R16/N16)</f>
        <v>147534.39999999999</v>
      </c>
      <c r="T16" s="87">
        <f>Q16*52*$E16*2</f>
        <v>409344</v>
      </c>
      <c r="U16" s="87">
        <f>IF(T16=0,0,T16/O16)</f>
        <v>136448</v>
      </c>
    </row>
    <row r="17" spans="1:21" x14ac:dyDescent="0.2">
      <c r="A17" s="46"/>
      <c r="B17" s="49"/>
      <c r="C17" s="46" t="s">
        <v>35</v>
      </c>
      <c r="D17" s="46" t="s">
        <v>7</v>
      </c>
      <c r="E17" s="46"/>
      <c r="F17" s="48"/>
      <c r="G17" s="47"/>
      <c r="H17" s="47"/>
      <c r="I17" s="47"/>
      <c r="J17" s="50"/>
      <c r="K17" s="50"/>
      <c r="L17" s="50"/>
      <c r="M17" s="50"/>
      <c r="N17" s="52"/>
      <c r="O17" s="52"/>
      <c r="P17" s="57"/>
      <c r="Q17" s="57"/>
      <c r="R17" s="92"/>
      <c r="S17" s="94"/>
      <c r="T17" s="45"/>
      <c r="U17" s="45"/>
    </row>
    <row r="18" spans="1:21" x14ac:dyDescent="0.2">
      <c r="A18" s="46">
        <v>1242</v>
      </c>
      <c r="B18" s="47"/>
      <c r="C18" s="46" t="s">
        <v>23</v>
      </c>
      <c r="D18" s="46" t="s">
        <v>6</v>
      </c>
      <c r="E18" s="48">
        <f>VLOOKUP(C18&amp;" "&amp;D18,'Bacia 03'!E:Q,2,0)</f>
        <v>11.005409162957221</v>
      </c>
      <c r="F18" s="48">
        <f>VLOOKUP(C18&amp;" "&amp;D18,'Bacia 03'!E:Q,3,0)</f>
        <v>25.150502582320147</v>
      </c>
      <c r="G18" s="82">
        <f>VLOOKUP(C18&amp;" "&amp;D18,'Bacia 03'!E:S,15,0)</f>
        <v>13</v>
      </c>
      <c r="H18" s="83">
        <f>VLOOKUP(C18&amp;" "&amp;D18,'Bacia 03'!E:T,16,0)</f>
        <v>60</v>
      </c>
      <c r="I18" s="84">
        <f>VLOOKUP(C18&amp;" "&amp;D18,'Bacia 03'!E:X,20,0)</f>
        <v>452.59999999999997</v>
      </c>
      <c r="J18" s="85">
        <v>11</v>
      </c>
      <c r="K18" s="85">
        <f>ROUND((G18-J18)*$Z$2,0)</f>
        <v>4</v>
      </c>
      <c r="L18" s="85">
        <f>ROUND(H18*J18/G18,0)</f>
        <v>51</v>
      </c>
      <c r="M18" s="85">
        <f>ROUND((H18-L18)*$Z$2,0)</f>
        <v>18</v>
      </c>
      <c r="N18" s="86">
        <f>IF(J18=0,0,ROUND(IF($F18*2&lt;=120,$F18*2/(120/J18),(120/(120/J18)+($F18*2-120)/(720/L18))),0))</f>
        <v>5</v>
      </c>
      <c r="O18" s="86">
        <f>IF(K18=0,0,IF(ROUND(IF($F18*2&lt;=120,$F18*2/(120/K18),(120/(120/K18)+($F18*2-120)/(720/M18))),0)=0,1,ROUND(IF($F18*2&lt;=120,$F18*2/(120/K18),(120/(120/K18)+($F18*2-120)/(720/M18))),0)))</f>
        <v>2</v>
      </c>
      <c r="P18" s="86">
        <f>ROUND(5*(J18+L18)+(J18+L18)*VLOOKUP(C18,'Bacia 03'!C:W,20,0)/VLOOKUP(C18,'Bacia 03'!C:W,19,0)+(J18+L18)*VLOOKUP(C18,'Bacia 03'!C:W,21,0)/VLOOKUP(C18,'Bacia 03'!C:W,19,0),0)</f>
        <v>384</v>
      </c>
      <c r="Q18" s="90">
        <f>ROUND(5*(K18+M18)+(K18+M18)*VLOOKUP(C18,'Bacia 03'!C:W,20,0)/VLOOKUP(C18,'Bacia 03'!C:W,19,0)+(K18+M18)*VLOOKUP(C18,'Bacia 03'!C:W,21,0)/VLOOKUP(C18,'Bacia 03'!C:W,19,0),0)</f>
        <v>136</v>
      </c>
      <c r="R18" s="91">
        <f>P18*52*$E18*2</f>
        <v>439512.02033185959</v>
      </c>
      <c r="S18" s="93">
        <f>IF(R18=0,,R18/N18)</f>
        <v>87902.404066371921</v>
      </c>
      <c r="T18" s="87">
        <f>Q18*52*$E18*2</f>
        <v>155660.50720086694</v>
      </c>
      <c r="U18" s="87">
        <f>IF(T18=0,0,T18/O18)</f>
        <v>77830.253600433469</v>
      </c>
    </row>
    <row r="19" spans="1:21" x14ac:dyDescent="0.2">
      <c r="A19" s="46">
        <v>1243</v>
      </c>
      <c r="B19" s="47"/>
      <c r="C19" s="46" t="s">
        <v>23</v>
      </c>
      <c r="D19" s="46" t="s">
        <v>7</v>
      </c>
      <c r="E19" s="48">
        <f>VLOOKUP(C19&amp;" "&amp;D19,'Bacia 03'!E:Q,2,0)</f>
        <v>11.005409162957221</v>
      </c>
      <c r="F19" s="48"/>
      <c r="G19" s="47"/>
      <c r="H19" s="47"/>
      <c r="I19" s="47"/>
      <c r="J19" s="50"/>
      <c r="K19" s="50"/>
      <c r="L19" s="50"/>
      <c r="M19" s="50"/>
      <c r="N19" s="52"/>
      <c r="O19" s="52"/>
      <c r="P19" s="57"/>
      <c r="Q19" s="57"/>
      <c r="R19" s="92"/>
      <c r="S19" s="94"/>
      <c r="T19" s="45"/>
      <c r="U19" s="45"/>
    </row>
    <row r="20" spans="1:21" x14ac:dyDescent="0.2">
      <c r="A20" s="46">
        <v>1255</v>
      </c>
      <c r="B20" s="47"/>
      <c r="C20" s="46" t="s">
        <v>27</v>
      </c>
      <c r="D20" s="46" t="s">
        <v>6</v>
      </c>
      <c r="E20" s="48">
        <f>VLOOKUP(C20&amp;" "&amp;D20,'Bacia 03'!E:Q,2,0)</f>
        <v>12.91054074652493</v>
      </c>
      <c r="F20" s="48">
        <f>VLOOKUP(C20&amp;" "&amp;D20,'Bacia 03'!E:Q,3,0)</f>
        <v>25.233109177436148</v>
      </c>
      <c r="G20" s="82">
        <f>VLOOKUP(C20&amp;" "&amp;D20,'Bacia 03'!E:S,15,0)</f>
        <v>1</v>
      </c>
      <c r="H20" s="83">
        <f>VLOOKUP(C20&amp;" "&amp;D20,'Bacia 03'!E:T,16,0)</f>
        <v>2</v>
      </c>
      <c r="I20" s="84">
        <f>VLOOKUP(C20&amp;" "&amp;D20,'Bacia 03'!E:X,20,0)</f>
        <v>18.599999999999998</v>
      </c>
      <c r="J20" s="85">
        <v>0</v>
      </c>
      <c r="K20" s="85">
        <f>ROUND((G20-J20)*$Z$2,0)</f>
        <v>2</v>
      </c>
      <c r="L20" s="85">
        <f>ROUND(H20*J20/G20,0)</f>
        <v>0</v>
      </c>
      <c r="M20" s="85">
        <f>ROUND((H20-L20)*$Z$2,0)</f>
        <v>4</v>
      </c>
      <c r="N20" s="86">
        <f>IF(J20=0,0,ROUND(IF($F20*2&lt;=120,$F20*2/(120/J20),(120/(120/J20)+($F20*2-120)/(720/L20))),0))</f>
        <v>0</v>
      </c>
      <c r="O20" s="86">
        <f>IF(K20=0,0,IF(ROUND(IF($F20*2&lt;=120,$F20*2/(120/K20),(120/(120/K20)+($F20*2-120)/(720/M20))),0)=0,1,ROUND(IF($F20*2&lt;=120,$F20*2/(120/K20),(120/(120/K20)+($F20*2-120)/(720/M20))),0)))</f>
        <v>1</v>
      </c>
      <c r="P20" s="86">
        <f>ROUND(5*(J20+L20)+(J20+L20)*VLOOKUP(C20,'Bacia 03'!C:W,20,0)/VLOOKUP(C20,'Bacia 03'!C:W,19,0)+(J20+L20)*VLOOKUP(C20,'Bacia 03'!C:W,21,0)/VLOOKUP(C20,'Bacia 03'!C:W,19,0),0)</f>
        <v>0</v>
      </c>
      <c r="Q20" s="90">
        <f>ROUND(5*(K20+M20)+(K20+M20)*VLOOKUP(C20,'Bacia 03'!C:W,20,0)/VLOOKUP(C20,'Bacia 03'!C:W,19,0)+(K20+M20)*VLOOKUP(C20,'Bacia 03'!C:W,21,0)/VLOOKUP(C20,'Bacia 03'!C:W,19,0),0)</f>
        <v>37</v>
      </c>
      <c r="R20" s="91">
        <f>P20*52*$E20*2</f>
        <v>0</v>
      </c>
      <c r="S20" s="93">
        <f>IF(R20=0,,R20/N20)</f>
        <v>0</v>
      </c>
      <c r="T20" s="87">
        <f>Q20*52*$E20*2</f>
        <v>49679.760792627931</v>
      </c>
      <c r="U20" s="87">
        <f>IF(T20=0,0,T20/O20)</f>
        <v>49679.760792627931</v>
      </c>
    </row>
    <row r="21" spans="1:21" x14ac:dyDescent="0.2">
      <c r="A21" s="46">
        <v>1256</v>
      </c>
      <c r="B21" s="47"/>
      <c r="C21" s="46" t="s">
        <v>27</v>
      </c>
      <c r="D21" s="46" t="s">
        <v>7</v>
      </c>
      <c r="E21" s="48">
        <f>VLOOKUP(C21&amp;" "&amp;D21,'Bacia 03'!E:Q,2,0)</f>
        <v>12.321948140859604</v>
      </c>
      <c r="F21" s="48"/>
      <c r="G21" s="47"/>
      <c r="H21" s="47"/>
      <c r="I21" s="47"/>
      <c r="J21" s="50"/>
      <c r="K21" s="50"/>
      <c r="L21" s="50"/>
      <c r="M21" s="50"/>
      <c r="N21" s="52"/>
      <c r="O21" s="52"/>
      <c r="P21" s="57"/>
      <c r="Q21" s="57"/>
      <c r="R21" s="92"/>
      <c r="S21" s="94"/>
      <c r="T21" s="45"/>
      <c r="U21" s="45"/>
    </row>
    <row r="22" spans="1:21" x14ac:dyDescent="0.2">
      <c r="A22" s="46">
        <v>1244</v>
      </c>
      <c r="B22" s="47"/>
      <c r="C22" s="46" t="s">
        <v>24</v>
      </c>
      <c r="D22" s="46" t="s">
        <v>6</v>
      </c>
      <c r="E22" s="48">
        <f>VLOOKUP(C22&amp;" "&amp;D22,'Bacia 03'!E:Q,2,0)</f>
        <v>18.269847303628922</v>
      </c>
      <c r="F22" s="48">
        <f>VLOOKUP(C22&amp;" "&amp;D22,'Bacia 03'!E:Q,3,0)</f>
        <v>37.194562727319351</v>
      </c>
      <c r="G22" s="82">
        <f>VLOOKUP(C22&amp;" "&amp;D22,'Bacia 03'!E:S,15,0)</f>
        <v>5</v>
      </c>
      <c r="H22" s="83">
        <f>VLOOKUP(C22&amp;" "&amp;D22,'Bacia 03'!E:T,16,0)</f>
        <v>25</v>
      </c>
      <c r="I22" s="84">
        <f>VLOOKUP(C22&amp;" "&amp;D22,'Bacia 03'!E:X,20,0)</f>
        <v>186</v>
      </c>
      <c r="J22" s="85">
        <v>4</v>
      </c>
      <c r="K22" s="85">
        <f>ROUND((G22-J22)*$Z$2,0)</f>
        <v>2</v>
      </c>
      <c r="L22" s="85">
        <f>ROUND(H22*J22/G22,0)</f>
        <v>20</v>
      </c>
      <c r="M22" s="85">
        <f>ROUND((H22-L22)*$Z$2,0)</f>
        <v>10</v>
      </c>
      <c r="N22" s="86">
        <f>IF(J22=0,0,ROUND(IF($F22*2&lt;=120,$F22*2/(120/J22),(120/(120/J22)+($F22*2-120)/(720/L22))),0))</f>
        <v>2</v>
      </c>
      <c r="O22" s="86">
        <f>IF(K22=0,0,IF(ROUND(IF($F22*2&lt;=120,$F22*2/(120/K22),(120/(120/K22)+($F22*2-120)/(720/M22))),0)=0,1,ROUND(IF($F22*2&lt;=120,$F22*2/(120/K22),(120/(120/K22)+($F22*2-120)/(720/M22))),0)))</f>
        <v>1</v>
      </c>
      <c r="P22" s="86">
        <f>ROUND(5*(J22+L22)+(J22+L22)*VLOOKUP(C22,'Bacia 03'!C:W,20,0)/VLOOKUP(C22,'Bacia 03'!C:W,19,0)+(J22+L22)*VLOOKUP(C22,'Bacia 03'!C:W,21,0)/VLOOKUP(C22,'Bacia 03'!C:W,19,0),0)</f>
        <v>149</v>
      </c>
      <c r="Q22" s="90">
        <f>ROUND(5*(K22+M22)+(K22+M22)*VLOOKUP(C22,'Bacia 03'!C:W,20,0)/VLOOKUP(C22,'Bacia 03'!C:W,19,0)+(K22+M22)*VLOOKUP(C22,'Bacia 03'!C:W,21,0)/VLOOKUP(C22,'Bacia 03'!C:W,19,0),0)</f>
        <v>74</v>
      </c>
      <c r="R22" s="91">
        <f>P22*52*$E22*2</f>
        <v>283109.55381703377</v>
      </c>
      <c r="S22" s="93">
        <f>IF(R22=0,,R22/N22)</f>
        <v>141554.77690851688</v>
      </c>
      <c r="T22" s="87">
        <f>Q22*52*$E22*2</f>
        <v>140604.74484872818</v>
      </c>
      <c r="U22" s="87">
        <f>IF(T22=0,0,T22/O22)</f>
        <v>140604.74484872818</v>
      </c>
    </row>
    <row r="23" spans="1:21" x14ac:dyDescent="0.2">
      <c r="A23" s="46">
        <v>1245</v>
      </c>
      <c r="B23" s="47"/>
      <c r="C23" s="46" t="s">
        <v>24</v>
      </c>
      <c r="D23" s="46" t="s">
        <v>7</v>
      </c>
      <c r="E23" s="48">
        <f>VLOOKUP(C23&amp;" "&amp;D23,'Bacia 03'!E:Q,2,0)</f>
        <v>18.269847303628922</v>
      </c>
      <c r="F23" s="48"/>
      <c r="G23" s="47"/>
      <c r="H23" s="47"/>
      <c r="I23" s="47"/>
      <c r="J23" s="50"/>
      <c r="K23" s="50"/>
      <c r="L23" s="50"/>
      <c r="M23" s="50"/>
      <c r="N23" s="52"/>
      <c r="O23" s="52"/>
      <c r="P23" s="57"/>
      <c r="Q23" s="57"/>
      <c r="R23" s="92"/>
      <c r="S23" s="94"/>
      <c r="T23" s="45"/>
      <c r="U23" s="45"/>
    </row>
    <row r="24" spans="1:21" x14ac:dyDescent="0.2">
      <c r="A24" s="46">
        <v>1267</v>
      </c>
      <c r="B24" s="47"/>
      <c r="C24" s="46" t="s">
        <v>32</v>
      </c>
      <c r="D24" s="46" t="s">
        <v>6</v>
      </c>
      <c r="E24" s="48">
        <f>VLOOKUP(C24&amp;" "&amp;D24,'Bacia 03'!E:Q,2,0)</f>
        <v>13.169955026358366</v>
      </c>
      <c r="F24" s="48">
        <f>VLOOKUP(C24&amp;" "&amp;D24,'Bacia 03'!E:Q,3,0)</f>
        <v>24.186164151788468</v>
      </c>
      <c r="G24" s="82">
        <f>VLOOKUP(C24&amp;" "&amp;D24,'Bacia 03'!E:S,15,0)</f>
        <v>5</v>
      </c>
      <c r="H24" s="83">
        <f>VLOOKUP(C24&amp;" "&amp;D24,'Bacia 03'!E:T,16,0)</f>
        <v>20</v>
      </c>
      <c r="I24" s="84">
        <f>VLOOKUP(C24&amp;" "&amp;D24,'Bacia 03'!E:X,20,0)</f>
        <v>155</v>
      </c>
      <c r="J24" s="85">
        <v>4</v>
      </c>
      <c r="K24" s="85">
        <f>ROUND((G24-J24)*$Z$2,0)</f>
        <v>2</v>
      </c>
      <c r="L24" s="85">
        <f>ROUND(H24*J24/G24,0)</f>
        <v>16</v>
      </c>
      <c r="M24" s="85">
        <f>ROUND((H24-L24)*$Z$2,0)</f>
        <v>8</v>
      </c>
      <c r="N24" s="86">
        <f>IF(J24=0,0,ROUND(IF($F24*2&lt;=120,$F24*2/(120/J24),(120/(120/J24)+($F24*2-120)/(720/L24))),0))</f>
        <v>2</v>
      </c>
      <c r="O24" s="86">
        <f>IF(K24=0,0,IF(ROUND(IF($F24*2&lt;=120,$F24*2/(120/K24),(120/(120/K24)+($F24*2-120)/(720/M24))),0)=0,1,ROUND(IF($F24*2&lt;=120,$F24*2/(120/K24),(120/(120/K24)+($F24*2-120)/(720/M24))),0)))</f>
        <v>1</v>
      </c>
      <c r="P24" s="86">
        <f>ROUND(5*(J24+L24)+(J24+L24)*VLOOKUP(C24,'Bacia 03'!C:W,20,0)/VLOOKUP(C24,'Bacia 03'!C:W,19,0)+(J24+L24)*VLOOKUP(C24,'Bacia 03'!C:W,21,0)/VLOOKUP(C24,'Bacia 03'!C:W,19,0),0)</f>
        <v>124</v>
      </c>
      <c r="Q24" s="90">
        <f>ROUND(5*(K24+M24)+(K24+M24)*VLOOKUP(C24,'Bacia 03'!C:W,20,0)/VLOOKUP(C24,'Bacia 03'!C:W,19,0)+(K24+M24)*VLOOKUP(C24,'Bacia 03'!C:W,21,0)/VLOOKUP(C24,'Bacia 03'!C:W,19,0),0)</f>
        <v>62</v>
      </c>
      <c r="R24" s="91">
        <f>P24*52*$E24*2</f>
        <v>169839.74001991749</v>
      </c>
      <c r="S24" s="93">
        <f>IF(R24=0,,R24/N24)</f>
        <v>84919.870009958744</v>
      </c>
      <c r="T24" s="87">
        <f>Q24*52*$E24*2</f>
        <v>84919.870009958744</v>
      </c>
      <c r="U24" s="87">
        <f>IF(T24=0,0,T24/O24)</f>
        <v>84919.870009958744</v>
      </c>
    </row>
    <row r="25" spans="1:21" x14ac:dyDescent="0.2">
      <c r="A25" s="46">
        <v>1268</v>
      </c>
      <c r="B25" s="47"/>
      <c r="C25" s="46" t="s">
        <v>32</v>
      </c>
      <c r="D25" s="46" t="s">
        <v>7</v>
      </c>
      <c r="E25" s="48">
        <f>VLOOKUP(C25&amp;" "&amp;D25,'Bacia 03'!E:Q,2,0)</f>
        <v>13.169955026358366</v>
      </c>
      <c r="F25" s="48"/>
      <c r="G25" s="47"/>
      <c r="H25" s="47"/>
      <c r="I25" s="47"/>
      <c r="J25" s="50"/>
      <c r="K25" s="50"/>
      <c r="L25" s="50"/>
      <c r="M25" s="50"/>
      <c r="N25" s="52"/>
      <c r="O25" s="52"/>
      <c r="P25" s="57"/>
      <c r="Q25" s="57"/>
      <c r="R25" s="92"/>
      <c r="S25" s="94"/>
      <c r="T25" s="45"/>
      <c r="U25" s="45"/>
    </row>
    <row r="26" spans="1:21" x14ac:dyDescent="0.2">
      <c r="A26" s="46">
        <v>1248</v>
      </c>
      <c r="B26" s="47"/>
      <c r="C26" s="46" t="s">
        <v>26</v>
      </c>
      <c r="D26" s="46" t="s">
        <v>6</v>
      </c>
      <c r="E26" s="48">
        <f>VLOOKUP(C26&amp;" "&amp;D26,'Bacia 03'!E:Q,2,0)</f>
        <v>22.564428417477757</v>
      </c>
      <c r="F26" s="48">
        <f>VLOOKUP(C26&amp;" "&amp;D26,'Bacia 03'!E:Q,3,0)</f>
        <v>46.66141788505373</v>
      </c>
      <c r="G26" s="82">
        <f>VLOOKUP(C26&amp;" "&amp;D26,'Bacia 03'!E:S,15,0)</f>
        <v>1</v>
      </c>
      <c r="H26" s="83">
        <f>VLOOKUP(C26&amp;" "&amp;D26,'Bacia 03'!E:T,16,0)</f>
        <v>2</v>
      </c>
      <c r="I26" s="84">
        <f>VLOOKUP(C26&amp;" "&amp;D26,'Bacia 03'!E:X,20,0)</f>
        <v>18.599999999999998</v>
      </c>
      <c r="J26" s="85">
        <v>0</v>
      </c>
      <c r="K26" s="85">
        <f>ROUND((G26-J26)*$Z$2,0)</f>
        <v>2</v>
      </c>
      <c r="L26" s="85">
        <f>ROUND(H26*J26/G26,0)</f>
        <v>0</v>
      </c>
      <c r="M26" s="85">
        <f>ROUND((H26-L26)*$Z$2,0)</f>
        <v>4</v>
      </c>
      <c r="N26" s="86">
        <f>IF(J26=0,0,ROUND(IF($F26*2&lt;=120,$F26*2/(120/J26),(120/(120/J26)+($F26*2-120)/(720/L26))),0))</f>
        <v>0</v>
      </c>
      <c r="O26" s="86">
        <f>IF(K26=0,0,IF(ROUND(IF($F26*2&lt;=120,$F26*2/(120/K26),(120/(120/K26)+($F26*2-120)/(720/M26))),0)=0,1,ROUND(IF($F26*2&lt;=120,$F26*2/(120/K26),(120/(120/K26)+($F26*2-120)/(720/M26))),0)))</f>
        <v>2</v>
      </c>
      <c r="P26" s="86">
        <f>ROUND(5*(J26+L26)+(J26+L26)*VLOOKUP(C26,'Bacia 03'!C:W,20,0)/VLOOKUP(C26,'Bacia 03'!C:W,19,0)+(J26+L26)*VLOOKUP(C26,'Bacia 03'!C:W,21,0)/VLOOKUP(C26,'Bacia 03'!C:W,19,0),0)</f>
        <v>0</v>
      </c>
      <c r="Q26" s="90">
        <f>ROUND(5*(K26+M26)+(K26+M26)*VLOOKUP(C26,'Bacia 03'!C:W,20,0)/VLOOKUP(C26,'Bacia 03'!C:W,19,0)+(K26+M26)*VLOOKUP(C26,'Bacia 03'!C:W,21,0)/VLOOKUP(C26,'Bacia 03'!C:W,19,0),0)</f>
        <v>37</v>
      </c>
      <c r="R26" s="91">
        <f>P26*52*$E26*2</f>
        <v>0</v>
      </c>
      <c r="S26" s="93">
        <f>IF(R26=0,,R26/N26)</f>
        <v>0</v>
      </c>
      <c r="T26" s="87">
        <f>Q26*52*$E26*2</f>
        <v>86827.920550454408</v>
      </c>
      <c r="U26" s="87">
        <f>IF(T26=0,0,T26/O26)</f>
        <v>43413.960275227204</v>
      </c>
    </row>
    <row r="27" spans="1:21" x14ac:dyDescent="0.2">
      <c r="A27" s="46">
        <v>1249</v>
      </c>
      <c r="B27" s="47"/>
      <c r="C27" s="46" t="s">
        <v>26</v>
      </c>
      <c r="D27" s="46" t="s">
        <v>7</v>
      </c>
      <c r="E27" s="48">
        <f>VLOOKUP(C27&amp;" "&amp;D27,'Bacia 03'!E:Q,2,0)</f>
        <v>22.564428417477757</v>
      </c>
      <c r="F27" s="48"/>
      <c r="G27" s="47"/>
      <c r="H27" s="47"/>
      <c r="I27" s="47"/>
      <c r="J27" s="50"/>
      <c r="K27" s="50"/>
      <c r="L27" s="50"/>
      <c r="M27" s="50"/>
      <c r="N27" s="52"/>
      <c r="O27" s="52"/>
      <c r="P27" s="57"/>
      <c r="Q27" s="57"/>
      <c r="R27" s="92"/>
      <c r="S27" s="94"/>
      <c r="T27" s="45"/>
      <c r="U27" s="45"/>
    </row>
    <row r="28" spans="1:21" x14ac:dyDescent="0.2">
      <c r="A28" s="46">
        <v>1274</v>
      </c>
      <c r="B28" s="47"/>
      <c r="C28" s="46" t="s">
        <v>33</v>
      </c>
      <c r="D28" s="46" t="s">
        <v>6</v>
      </c>
      <c r="E28" s="48">
        <f>VLOOKUP(C28&amp;" "&amp;D28,'Bacia 03'!E:Q,2,0)</f>
        <v>12.662941557355225</v>
      </c>
      <c r="F28" s="48">
        <f>VLOOKUP(C28&amp;" "&amp;D28,'Bacia 03'!E:Q,3,0)</f>
        <v>23.205448381496325</v>
      </c>
      <c r="G28" s="82">
        <f>VLOOKUP(C28&amp;" "&amp;D28,'Bacia 03'!E:S,15,0)</f>
        <v>2</v>
      </c>
      <c r="H28" s="83">
        <f>VLOOKUP(C28&amp;" "&amp;D28,'Bacia 03'!E:T,16,0)</f>
        <v>6</v>
      </c>
      <c r="I28" s="84">
        <f>VLOOKUP(C28&amp;" "&amp;D28,'Bacia 03'!E:X,20,0)</f>
        <v>50</v>
      </c>
      <c r="J28" s="85">
        <v>0</v>
      </c>
      <c r="K28" s="85">
        <f>ROUND((G28-J28)*$Z$2,0)</f>
        <v>4</v>
      </c>
      <c r="L28" s="85">
        <f>ROUND(H28*J28/G28,0)</f>
        <v>0</v>
      </c>
      <c r="M28" s="85">
        <f>ROUND((H28-L28)*$Z$2,0)</f>
        <v>12</v>
      </c>
      <c r="N28" s="86">
        <f>IF(J28=0,0,ROUND(IF($F28*2&lt;=120,$F28*2/(120/J28),(120/(120/J28)+($F28*2-120)/(720/L28))),0))</f>
        <v>0</v>
      </c>
      <c r="O28" s="86">
        <f>IF(K28=0,0,IF(ROUND(IF($F28*2&lt;=120,$F28*2/(120/K28),(120/(120/K28)+($F28*2-120)/(720/M28))),0)=0,1,ROUND(IF($F28*2&lt;=120,$F28*2/(120/K28),(120/(120/K28)+($F28*2-120)/(720/M28))),0)))</f>
        <v>2</v>
      </c>
      <c r="P28" s="86">
        <f>ROUND(5*(J28+L28)+(J28+L28)*VLOOKUP(C28,'Bacia 03'!C:W,20,0)/VLOOKUP(C28,'Bacia 03'!C:W,19,0)+(J28+L28)*VLOOKUP(C28,'Bacia 03'!C:W,21,0)/VLOOKUP(C28,'Bacia 03'!C:W,19,0),0)</f>
        <v>0</v>
      </c>
      <c r="Q28" s="90">
        <f>ROUND(5*(K28+M28)+(K28+M28)*VLOOKUP(C28,'Bacia 03'!C:W,20,0)/VLOOKUP(C28,'Bacia 03'!C:W,19,0)+(K28+M28)*VLOOKUP(C28,'Bacia 03'!C:W,21,0)/VLOOKUP(C28,'Bacia 03'!C:W,19,0),0)</f>
        <v>100</v>
      </c>
      <c r="R28" s="91">
        <f>P28*52*$E28*2</f>
        <v>0</v>
      </c>
      <c r="S28" s="93">
        <f>IF(R28=0,,R28/N28)</f>
        <v>0</v>
      </c>
      <c r="T28" s="87">
        <f>Q28*52*$E28*2</f>
        <v>131694.59219649434</v>
      </c>
      <c r="U28" s="87">
        <f>IF(T28=0,0,T28/O28)</f>
        <v>65847.29609824717</v>
      </c>
    </row>
    <row r="29" spans="1:21" x14ac:dyDescent="0.2">
      <c r="A29" s="46">
        <v>1271</v>
      </c>
      <c r="B29" s="47"/>
      <c r="C29" s="46" t="s">
        <v>33</v>
      </c>
      <c r="D29" s="46" t="s">
        <v>7</v>
      </c>
      <c r="E29" s="48">
        <f>VLOOKUP(C29&amp;" "&amp;D29,'Bacia 03'!E:Q,2,0)</f>
        <v>12.282440251670778</v>
      </c>
      <c r="F29" s="48"/>
      <c r="G29" s="47"/>
      <c r="H29" s="47"/>
      <c r="I29" s="47"/>
      <c r="J29" s="50"/>
      <c r="K29" s="50"/>
      <c r="L29" s="50"/>
      <c r="M29" s="50"/>
      <c r="N29" s="52"/>
      <c r="O29" s="52"/>
      <c r="P29" s="57"/>
      <c r="Q29" s="57"/>
      <c r="R29" s="92"/>
      <c r="S29" s="94"/>
      <c r="T29" s="45"/>
      <c r="U29" s="45"/>
    </row>
    <row r="30" spans="1:21" x14ac:dyDescent="0.2">
      <c r="A30" s="46"/>
      <c r="B30" s="49"/>
      <c r="C30" s="46" t="s">
        <v>37</v>
      </c>
      <c r="D30" s="46" t="s">
        <v>6</v>
      </c>
      <c r="E30" s="48">
        <f>VLOOKUP(C30&amp;" "&amp;D30,'Bacia 03'!E:Q,2,0)</f>
        <v>5.5</v>
      </c>
      <c r="F30" s="48">
        <f>VLOOKUP(C30&amp;" "&amp;D30,'Bacia 03'!E:Q,3,0)</f>
        <v>14</v>
      </c>
      <c r="G30" s="82">
        <f>VLOOKUP(C30&amp;" "&amp;D30,'Bacia 03'!E:S,15,0)</f>
        <v>6</v>
      </c>
      <c r="H30" s="83">
        <f>VLOOKUP(C30&amp;" "&amp;D30,'Bacia 03'!E:T,16,0)</f>
        <v>40</v>
      </c>
      <c r="I30" s="84">
        <f>VLOOKUP(C30&amp;" "&amp;D30,'Bacia 03'!E:X,20,0)</f>
        <v>287.5</v>
      </c>
      <c r="J30" s="85">
        <v>5</v>
      </c>
      <c r="K30" s="85">
        <f>ROUND((G30-J30)*$Z$2,0)</f>
        <v>2</v>
      </c>
      <c r="L30" s="85">
        <f>ROUND(H30*J30/G30,0)</f>
        <v>33</v>
      </c>
      <c r="M30" s="85">
        <f>ROUND((H30-L30)*$Z$2,0)</f>
        <v>14</v>
      </c>
      <c r="N30" s="86">
        <f>IF(J30=0,0,ROUND(IF($F30*2&lt;=120,$F30*2/(120/J30),(120/(120/J30)+($F30*2-120)/(720/L30))),0))</f>
        <v>1</v>
      </c>
      <c r="O30" s="86">
        <f>IF(K30=0,0,IF(ROUND(IF($F30*2&lt;=120,$F30*2/(120/K30),(120/(120/K30)+($F30*2-120)/(720/M30))),0)=0,1,ROUND(IF($F30*2&lt;=120,$F30*2/(120/K30),(120/(120/K30)+($F30*2-120)/(720/M30))),0)))</f>
        <v>1</v>
      </c>
      <c r="P30" s="86">
        <f>ROUND(5*(J30+L30)+(J30+L30)*VLOOKUP(C30,'Bacia 03'!C:W,20,0)/VLOOKUP(C30,'Bacia 03'!C:W,19,0)+(J30+L30)*VLOOKUP(C30,'Bacia 03'!C:W,21,0)/VLOOKUP(C30,'Bacia 03'!C:W,19,0),0)</f>
        <v>238</v>
      </c>
      <c r="Q30" s="90">
        <f>ROUND(5*(K30+M30)+(K30+M30)*VLOOKUP(C30,'Bacia 03'!C:W,20,0)/VLOOKUP(C30,'Bacia 03'!C:W,19,0)+(K30+M30)*VLOOKUP(C30,'Bacia 03'!C:W,21,0)/VLOOKUP(C30,'Bacia 03'!C:W,19,0),0)</f>
        <v>100</v>
      </c>
      <c r="R30" s="91">
        <f>P30*52*$E30*2</f>
        <v>136136</v>
      </c>
      <c r="S30" s="93">
        <f>IF(R30=0,,R30/N30)</f>
        <v>136136</v>
      </c>
      <c r="T30" s="87">
        <f>Q30*52*$E30*2</f>
        <v>57200</v>
      </c>
      <c r="U30" s="87">
        <f>IF(T30=0,0,T30/O30)</f>
        <v>57200</v>
      </c>
    </row>
    <row r="31" spans="1:21" x14ac:dyDescent="0.2">
      <c r="A31" s="46"/>
      <c r="B31" s="49"/>
      <c r="C31" s="46" t="s">
        <v>37</v>
      </c>
      <c r="D31" s="46" t="s">
        <v>7</v>
      </c>
      <c r="E31" s="48">
        <f>VLOOKUP(C31&amp;" "&amp;D31,'Bacia 03'!E:Q,2,0)</f>
        <v>5.5</v>
      </c>
      <c r="F31" s="48"/>
      <c r="G31" s="47"/>
      <c r="H31" s="47"/>
      <c r="I31" s="47"/>
      <c r="J31" s="50"/>
      <c r="K31" s="50"/>
      <c r="L31" s="50"/>
      <c r="M31" s="50"/>
      <c r="N31" s="52"/>
      <c r="O31" s="52"/>
      <c r="P31" s="57"/>
      <c r="Q31" s="57"/>
      <c r="R31" s="92"/>
      <c r="S31" s="94"/>
      <c r="T31" s="45"/>
      <c r="U31" s="45"/>
    </row>
    <row r="32" spans="1:21" x14ac:dyDescent="0.2">
      <c r="A32" s="46"/>
      <c r="B32" s="49"/>
      <c r="C32" s="46" t="s">
        <v>38</v>
      </c>
      <c r="D32" s="46" t="s">
        <v>6</v>
      </c>
      <c r="E32" s="48">
        <f>VLOOKUP(C32&amp;" "&amp;D32,'Bacia 03'!E:Q,2,0)</f>
        <v>29</v>
      </c>
      <c r="F32" s="48">
        <f>VLOOKUP(C32&amp;" "&amp;D32,'Bacia 03'!E:Q,3,0)</f>
        <v>46</v>
      </c>
      <c r="G32" s="82">
        <f>VLOOKUP(C32&amp;" "&amp;D32,'Bacia 03'!E:S,15,0)</f>
        <v>4</v>
      </c>
      <c r="H32" s="83">
        <f>VLOOKUP(C32&amp;" "&amp;D32,'Bacia 03'!E:T,16,0)</f>
        <v>20</v>
      </c>
      <c r="I32" s="84">
        <f>VLOOKUP(C32&amp;" "&amp;D32,'Bacia 03'!E:X,20,0)</f>
        <v>147.6</v>
      </c>
      <c r="J32" s="85">
        <v>3</v>
      </c>
      <c r="K32" s="85">
        <f>ROUND((G32-J32)*$Z$2,0)</f>
        <v>2</v>
      </c>
      <c r="L32" s="85">
        <f>ROUND(H32*J32/G32,0)</f>
        <v>15</v>
      </c>
      <c r="M32" s="85">
        <f>ROUND((H32-L32)*$Z$2,0)</f>
        <v>10</v>
      </c>
      <c r="N32" s="86">
        <f>IF(J32=0,0,ROUND(IF($F32*2&lt;=120,$F32*2/(120/J32),(120/(120/J32)+($F32*2-120)/(720/L32))),0))</f>
        <v>2</v>
      </c>
      <c r="O32" s="86">
        <f>IF(K32=0,0,IF(ROUND(IF($F32*2&lt;=120,$F32*2/(120/K32),(120/(120/K32)+($F32*2-120)/(720/M32))),0)=0,1,ROUND(IF($F32*2&lt;=120,$F32*2/(120/K32),(120/(120/K32)+($F32*2-120)/(720/M32))),0)))</f>
        <v>2</v>
      </c>
      <c r="P32" s="86">
        <f>ROUND(5*(J32+L32)+(J32+L32)*VLOOKUP(C32,'Bacia 03'!C:W,20,0)/VLOOKUP(C32,'Bacia 03'!C:W,19,0)+(J32+L32)*VLOOKUP(C32,'Bacia 03'!C:W,21,0)/VLOOKUP(C32,'Bacia 03'!C:W,19,0),0)</f>
        <v>111</v>
      </c>
      <c r="Q32" s="90">
        <f>ROUND(5*(K32+M32)+(K32+M32)*VLOOKUP(C32,'Bacia 03'!C:W,20,0)/VLOOKUP(C32,'Bacia 03'!C:W,19,0)+(K32+M32)*VLOOKUP(C32,'Bacia 03'!C:W,21,0)/VLOOKUP(C32,'Bacia 03'!C:W,19,0),0)</f>
        <v>74</v>
      </c>
      <c r="R32" s="91">
        <f>P32*52*$E32*2</f>
        <v>334776</v>
      </c>
      <c r="S32" s="93">
        <f>IF(R32=0,,R32/N32)</f>
        <v>167388</v>
      </c>
      <c r="T32" s="87">
        <f>Q32*52*$E32*2</f>
        <v>223184</v>
      </c>
      <c r="U32" s="87">
        <f>IF(T32=0,0,T32/O32)</f>
        <v>111592</v>
      </c>
    </row>
    <row r="33" spans="1:21" x14ac:dyDescent="0.2">
      <c r="A33" s="46"/>
      <c r="B33" s="49"/>
      <c r="C33" s="46" t="s">
        <v>38</v>
      </c>
      <c r="D33" s="46" t="s">
        <v>7</v>
      </c>
      <c r="E33" s="48">
        <f>VLOOKUP(C33&amp;" "&amp;D33,'Bacia 03'!E:Q,2,0)</f>
        <v>29</v>
      </c>
      <c r="F33" s="48"/>
      <c r="G33" s="47"/>
      <c r="H33" s="47"/>
      <c r="I33" s="47"/>
      <c r="J33" s="50"/>
      <c r="K33" s="50"/>
      <c r="L33" s="50"/>
      <c r="M33" s="50"/>
      <c r="N33" s="52"/>
      <c r="O33" s="52"/>
      <c r="P33" s="57"/>
      <c r="Q33" s="57"/>
      <c r="R33" s="92"/>
      <c r="S33" s="94"/>
      <c r="T33" s="45"/>
      <c r="U33" s="45"/>
    </row>
    <row r="34" spans="1:21" x14ac:dyDescent="0.2">
      <c r="A34" s="46"/>
      <c r="B34" s="49"/>
      <c r="C34" s="46" t="s">
        <v>39</v>
      </c>
      <c r="D34" s="46" t="s">
        <v>6</v>
      </c>
      <c r="E34" s="48">
        <f>VLOOKUP(C34&amp;" "&amp;D34,'Bacia 03'!E:Q,2,0)</f>
        <v>35</v>
      </c>
      <c r="F34" s="48">
        <f>VLOOKUP(C34&amp;" "&amp;D34,'Bacia 03'!E:Q,3,0)</f>
        <v>75</v>
      </c>
      <c r="G34" s="82">
        <f>VLOOKUP(C34&amp;" "&amp;D34,'Bacia 03'!E:S,15,0)</f>
        <v>2</v>
      </c>
      <c r="H34" s="83">
        <f>VLOOKUP(C34&amp;" "&amp;D34,'Bacia 03'!E:T,16,0)</f>
        <v>6</v>
      </c>
      <c r="I34" s="84">
        <f>VLOOKUP(C34&amp;" "&amp;D34,'Bacia 03'!E:X,20,0)</f>
        <v>49.2</v>
      </c>
      <c r="J34" s="85">
        <v>0</v>
      </c>
      <c r="K34" s="85">
        <f>ROUND((G34-J34)*$Z$2,0)</f>
        <v>4</v>
      </c>
      <c r="L34" s="85">
        <f>ROUND(H34*J34/G34,0)</f>
        <v>0</v>
      </c>
      <c r="M34" s="85">
        <f>ROUND((H34-L34)*$Z$2,0)</f>
        <v>12</v>
      </c>
      <c r="N34" s="86">
        <f>IF(J34=0,0,ROUND(IF($F34*2&lt;=120,$F34*2/(120/J34),(120/(120/J34)+($F34*2-120)/(720/L34))),0))</f>
        <v>0</v>
      </c>
      <c r="O34" s="86">
        <f>IF(K34=0,0,IF(ROUND(IF($F34*2&lt;=120,$F34*2/(120/K34),(120/(120/K34)+($F34*2-120)/(720/M34))),0)=0,1,ROUND(IF($F34*2&lt;=120,$F34*2/(120/K34),(120/(120/K34)+($F34*2-120)/(720/M34))),0)))</f>
        <v>5</v>
      </c>
      <c r="P34" s="86">
        <f>ROUND(5*(J34+L34)+(J34+L34)*VLOOKUP(C34,'Bacia 03'!C:W,20,0)/VLOOKUP(C34,'Bacia 03'!C:W,19,0)+(J34+L34)*VLOOKUP(C34,'Bacia 03'!C:W,21,0)/VLOOKUP(C34,'Bacia 03'!C:W,19,0),0)</f>
        <v>0</v>
      </c>
      <c r="Q34" s="90">
        <f>ROUND(5*(K34+M34)+(K34+M34)*VLOOKUP(C34,'Bacia 03'!C:W,20,0)/VLOOKUP(C34,'Bacia 03'!C:W,19,0)+(K34+M34)*VLOOKUP(C34,'Bacia 03'!C:W,21,0)/VLOOKUP(C34,'Bacia 03'!C:W,19,0),0)</f>
        <v>98</v>
      </c>
      <c r="R34" s="91">
        <f>P34*52*$E34*2</f>
        <v>0</v>
      </c>
      <c r="S34" s="93">
        <f>IF(R34=0,,R34/N34)</f>
        <v>0</v>
      </c>
      <c r="T34" s="87">
        <f>Q34*52*$E34*2</f>
        <v>356720</v>
      </c>
      <c r="U34" s="87">
        <f>IF(T34=0,0,T34/O34)</f>
        <v>71344</v>
      </c>
    </row>
    <row r="35" spans="1:21" x14ac:dyDescent="0.2">
      <c r="A35" s="46"/>
      <c r="B35" s="49"/>
      <c r="C35" s="46" t="s">
        <v>39</v>
      </c>
      <c r="D35" s="46" t="s">
        <v>7</v>
      </c>
      <c r="E35" s="48">
        <f>VLOOKUP(C35&amp;" "&amp;D35,'Bacia 03'!E:Q,2,0)</f>
        <v>35</v>
      </c>
      <c r="F35" s="48"/>
      <c r="G35" s="47"/>
      <c r="H35" s="47"/>
      <c r="I35" s="47"/>
      <c r="J35" s="50"/>
      <c r="K35" s="50"/>
      <c r="L35" s="50"/>
      <c r="M35" s="50"/>
      <c r="N35" s="52"/>
      <c r="O35" s="52"/>
      <c r="P35" s="57"/>
      <c r="Q35" s="57"/>
      <c r="R35" s="92"/>
      <c r="S35" s="94"/>
      <c r="T35" s="45"/>
      <c r="U35" s="45"/>
    </row>
    <row r="36" spans="1:21" x14ac:dyDescent="0.2">
      <c r="A36" s="46"/>
      <c r="B36" s="49"/>
      <c r="C36" s="46" t="s">
        <v>40</v>
      </c>
      <c r="D36" s="46" t="s">
        <v>6</v>
      </c>
      <c r="E36" s="48">
        <f>VLOOKUP(C36&amp;" "&amp;D36,'Bacia 03'!E:Q,2,0)</f>
        <v>36.5</v>
      </c>
      <c r="F36" s="48">
        <f>VLOOKUP(C36&amp;" "&amp;D36,'Bacia 03'!E:Q,3,0)</f>
        <v>65</v>
      </c>
      <c r="G36" s="82">
        <f>VLOOKUP(C36&amp;" "&amp;D36,'Bacia 03'!E:S,15,0)</f>
        <v>3</v>
      </c>
      <c r="H36" s="83">
        <f>VLOOKUP(C36&amp;" "&amp;D36,'Bacia 03'!E:T,16,0)</f>
        <v>5</v>
      </c>
      <c r="I36" s="84">
        <f>VLOOKUP(C36&amp;" "&amp;D36,'Bacia 03'!E:X,20,0)</f>
        <v>49.2</v>
      </c>
      <c r="J36" s="85">
        <v>3</v>
      </c>
      <c r="K36" s="85">
        <f>ROUND((G36-J36)*$Z$2,0)</f>
        <v>0</v>
      </c>
      <c r="L36" s="85">
        <f>ROUND(H36*J36/G36,0)</f>
        <v>5</v>
      </c>
      <c r="M36" s="85">
        <f>ROUND((H36-L36)*$Z$2,0)</f>
        <v>0</v>
      </c>
      <c r="N36" s="86">
        <f>IF(J36=0,0,ROUND(IF($F36*2&lt;=120,$F36*2/(120/J36),(120/(120/J36)+($F36*2-120)/(720/L36))),0))</f>
        <v>3</v>
      </c>
      <c r="O36" s="86">
        <f>IF(K36=0,0,IF(ROUND(IF($F36*2&lt;=120,$F36*2/(120/K36),(120/(120/K36)+($F36*2-120)/(720/M36))),0)=0,1,ROUND(IF($F36*2&lt;=120,$F36*2/(120/K36),(120/(120/K36)+($F36*2-120)/(720/M36))),0)))</f>
        <v>0</v>
      </c>
      <c r="P36" s="86">
        <f>ROUND(5*(J36+L36)+(J36+L36)*VLOOKUP(C36,'Bacia 03'!C:W,20,0)/VLOOKUP(C36,'Bacia 03'!C:W,19,0)+(J36+L36)*VLOOKUP(C36,'Bacia 03'!C:W,21,0)/VLOOKUP(C36,'Bacia 03'!C:W,19,0),0)</f>
        <v>49</v>
      </c>
      <c r="Q36" s="90">
        <f>ROUND(5*(K36+M36)+(K36+M36)*VLOOKUP(C36,'Bacia 03'!C:W,20,0)/VLOOKUP(C36,'Bacia 03'!C:W,19,0)+(K36+M36)*VLOOKUP(C36,'Bacia 03'!C:W,21,0)/VLOOKUP(C36,'Bacia 03'!C:W,19,0),0)</f>
        <v>0</v>
      </c>
      <c r="R36" s="91">
        <f>P36*52*$E36*2</f>
        <v>186004</v>
      </c>
      <c r="S36" s="93">
        <f>IF(R36=0,,R36/N36)</f>
        <v>62001.333333333336</v>
      </c>
      <c r="T36" s="87">
        <f>Q36*52*$E36*2</f>
        <v>0</v>
      </c>
      <c r="U36" s="87">
        <f>IF(T36=0,0,T36/O36)</f>
        <v>0</v>
      </c>
    </row>
    <row r="37" spans="1:21" x14ac:dyDescent="0.2">
      <c r="A37" s="46"/>
      <c r="B37" s="49"/>
      <c r="C37" s="46" t="s">
        <v>40</v>
      </c>
      <c r="D37" s="46" t="s">
        <v>7</v>
      </c>
      <c r="E37" s="48">
        <f>VLOOKUP(C37&amp;" "&amp;D37,'Bacia 03'!E:Q,2,0)</f>
        <v>36.5</v>
      </c>
      <c r="F37" s="48"/>
      <c r="G37" s="47"/>
      <c r="H37" s="47"/>
      <c r="I37" s="47"/>
      <c r="J37" s="50"/>
      <c r="K37" s="50"/>
      <c r="L37" s="50"/>
      <c r="M37" s="50"/>
      <c r="N37" s="52"/>
      <c r="O37" s="52"/>
      <c r="P37" s="57"/>
      <c r="Q37" s="57"/>
      <c r="R37" s="92"/>
      <c r="S37" s="94"/>
      <c r="T37" s="45"/>
      <c r="U37" s="45"/>
    </row>
    <row r="38" spans="1:21" x14ac:dyDescent="0.2">
      <c r="A38" s="46"/>
      <c r="B38" s="49"/>
      <c r="C38" s="46" t="s">
        <v>41</v>
      </c>
      <c r="D38" s="46" t="s">
        <v>6</v>
      </c>
      <c r="E38" s="48">
        <f>VLOOKUP(C38&amp;" "&amp;D38,'Bacia 03'!E:Q,2,0)</f>
        <v>21</v>
      </c>
      <c r="F38" s="48">
        <f>VLOOKUP(C38&amp;" "&amp;D38,'Bacia 03'!E:Q,3,0)</f>
        <v>45</v>
      </c>
      <c r="G38" s="82">
        <f>VLOOKUP(C38&amp;" "&amp;D38,'Bacia 03'!E:S,15,0)</f>
        <v>2</v>
      </c>
      <c r="H38" s="83">
        <f>VLOOKUP(C38&amp;" "&amp;D38,'Bacia 03'!E:T,16,0)</f>
        <v>6</v>
      </c>
      <c r="I38" s="84">
        <f>VLOOKUP(C38&amp;" "&amp;D38,'Bacia 03'!E:X,20,0)</f>
        <v>49.2</v>
      </c>
      <c r="J38" s="85">
        <v>2</v>
      </c>
      <c r="K38" s="85">
        <f>ROUND((G38-J38)*$Z$2,0)</f>
        <v>0</v>
      </c>
      <c r="L38" s="85">
        <f>ROUND(H38*J38/G38,0)</f>
        <v>6</v>
      </c>
      <c r="M38" s="85">
        <f>ROUND((H38-L38)*$Z$2,0)</f>
        <v>0</v>
      </c>
      <c r="N38" s="86">
        <f>IF(J38=0,0,ROUND(IF($F38*2&lt;=120,$F38*2/(120/J38),(120/(120/J38)+($F38*2-120)/(720/L38))),0))</f>
        <v>2</v>
      </c>
      <c r="O38" s="86">
        <f>IF(K38=0,0,IF(ROUND(IF($F38*2&lt;=120,$F38*2/(120/K38),(120/(120/K38)+($F38*2-120)/(720/M38))),0)=0,1,ROUND(IF($F38*2&lt;=120,$F38*2/(120/K38),(120/(120/K38)+($F38*2-120)/(720/M38))),0)))</f>
        <v>0</v>
      </c>
      <c r="P38" s="86">
        <f>ROUND(5*(J38+L38)+(J38+L38)*VLOOKUP(C38,'Bacia 03'!C:W,20,0)/VLOOKUP(C38,'Bacia 03'!C:W,19,0)+(J38+L38)*VLOOKUP(C38,'Bacia 03'!C:W,21,0)/VLOOKUP(C38,'Bacia 03'!C:W,19,0),0)</f>
        <v>49</v>
      </c>
      <c r="Q38" s="90">
        <f>ROUND(5*(K38+M38)+(K38+M38)*VLOOKUP(C38,'Bacia 03'!C:W,20,0)/VLOOKUP(C38,'Bacia 03'!C:W,19,0)+(K38+M38)*VLOOKUP(C38,'Bacia 03'!C:W,21,0)/VLOOKUP(C38,'Bacia 03'!C:W,19,0),0)</f>
        <v>0</v>
      </c>
      <c r="R38" s="91">
        <f>P38*52*$E38*2</f>
        <v>107016</v>
      </c>
      <c r="S38" s="93">
        <f>IF(R38=0,,R38/N38)</f>
        <v>53508</v>
      </c>
      <c r="T38" s="87">
        <f>Q38*52*$E38*2</f>
        <v>0</v>
      </c>
      <c r="U38" s="87">
        <f>IF(T38=0,0,T38/O38)</f>
        <v>0</v>
      </c>
    </row>
    <row r="39" spans="1:21" x14ac:dyDescent="0.2">
      <c r="A39" s="46"/>
      <c r="B39" s="49"/>
      <c r="C39" s="46" t="s">
        <v>41</v>
      </c>
      <c r="D39" s="46" t="s">
        <v>7</v>
      </c>
      <c r="E39" s="48">
        <f>VLOOKUP(C39&amp;" "&amp;D39,'Bacia 03'!E:Q,2,0)</f>
        <v>21</v>
      </c>
      <c r="F39" s="48"/>
      <c r="G39" s="47"/>
      <c r="H39" s="47"/>
      <c r="I39" s="47"/>
      <c r="J39" s="50"/>
      <c r="K39" s="50"/>
      <c r="L39" s="50"/>
      <c r="M39" s="50"/>
      <c r="N39" s="52"/>
      <c r="O39" s="52"/>
      <c r="P39" s="52"/>
      <c r="Q39" s="52"/>
      <c r="R39" s="92"/>
      <c r="S39" s="94"/>
      <c r="T39" s="45"/>
      <c r="U39" s="45"/>
    </row>
    <row r="40" spans="1:21" x14ac:dyDescent="0.2">
      <c r="A40" s="96"/>
      <c r="B40" s="96"/>
      <c r="C40" s="96"/>
      <c r="D40" s="96"/>
      <c r="E40" s="96"/>
      <c r="F40" s="97"/>
      <c r="G40" s="98"/>
      <c r="H40" s="98"/>
      <c r="I40" s="98"/>
      <c r="J40" s="99"/>
      <c r="K40" s="99"/>
      <c r="L40" s="99"/>
      <c r="M40" s="99"/>
      <c r="N40" s="100">
        <f>SUBTOTAL(109,Tabela824[Frota Ônibus])</f>
        <v>41</v>
      </c>
      <c r="O40" s="100">
        <f>SUBTOTAL(109,Tabela824[Frota Van])</f>
        <v>40</v>
      </c>
      <c r="P40" s="100">
        <f>SUM(Tabela824[Frequencia Semanal Ônibus])</f>
        <v>3034</v>
      </c>
      <c r="Q40" s="100">
        <f>SUM(Tabela824[Frequencia Semanal Van])</f>
        <v>2047</v>
      </c>
      <c r="R40" s="101">
        <f>SUBTOTAL(109,Tabela824[Km Anual Total Ônibus])</f>
        <v>4454022.5627927072</v>
      </c>
      <c r="S40" s="101">
        <f>IF(R40=0,,R40/N40)</f>
        <v>108634.69665348067</v>
      </c>
      <c r="T40" s="101">
        <f>SUM(Tabela824[Km Anual Total Van])</f>
        <v>3799815.9320405615</v>
      </c>
      <c r="U40" s="101">
        <f>IF(T40=0,0,T40/O40)</f>
        <v>94995.398301014036</v>
      </c>
    </row>
    <row r="41" spans="1:21" x14ac:dyDescent="0.2">
      <c r="T41" s="23"/>
      <c r="U41" s="23"/>
    </row>
    <row r="43" spans="1:21" x14ac:dyDescent="0.2">
      <c r="N43" s="16">
        <f>Tabela824[[#Totals],[Frota Ônibus]]+Tabela824[[#Totals],[Frota Van]]</f>
        <v>81</v>
      </c>
    </row>
    <row r="44" spans="1:21" x14ac:dyDescent="0.2">
      <c r="N44" s="16">
        <f>Tabela824[[#Totals],[Frota Ônibus]]/N43</f>
        <v>0.50617283950617287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A24" sqref="A24"/>
    </sheetView>
  </sheetViews>
  <sheetFormatPr defaultRowHeight="12.75" x14ac:dyDescent="0.2"/>
  <cols>
    <col min="1" max="1" width="29.140625" bestFit="1" customWidth="1"/>
    <col min="2" max="2" width="8.85546875" bestFit="1" customWidth="1"/>
    <col min="3" max="3" width="13.85546875" style="16" bestFit="1" customWidth="1"/>
    <col min="4" max="4" width="12.42578125" style="16" bestFit="1" customWidth="1"/>
    <col min="5" max="5" width="13.5703125" style="16" customWidth="1"/>
    <col min="6" max="6" width="13.28515625" style="16" bestFit="1" customWidth="1"/>
  </cols>
  <sheetData>
    <row r="1" spans="1:7" ht="30.75" thickBot="1" x14ac:dyDescent="0.25">
      <c r="A1" s="117" t="s">
        <v>92</v>
      </c>
      <c r="B1" s="116" t="s">
        <v>42</v>
      </c>
      <c r="C1" s="116" t="s">
        <v>43</v>
      </c>
      <c r="D1" s="116" t="s">
        <v>85</v>
      </c>
      <c r="E1" s="116" t="s">
        <v>87</v>
      </c>
      <c r="F1" s="116" t="s">
        <v>86</v>
      </c>
      <c r="G1" s="118" t="s">
        <v>88</v>
      </c>
    </row>
    <row r="2" spans="1:7" x14ac:dyDescent="0.2">
      <c r="A2" s="119" t="s">
        <v>31</v>
      </c>
      <c r="B2" s="113">
        <v>4</v>
      </c>
      <c r="C2" s="113">
        <v>0</v>
      </c>
      <c r="D2" s="114">
        <v>474455.20619961538</v>
      </c>
      <c r="E2" s="114">
        <v>0</v>
      </c>
      <c r="F2" s="115">
        <v>118613.80154990384</v>
      </c>
      <c r="G2" s="120" t="s">
        <v>76</v>
      </c>
    </row>
    <row r="3" spans="1:7" x14ac:dyDescent="0.2">
      <c r="A3" s="119" t="s">
        <v>28</v>
      </c>
      <c r="B3" s="113">
        <v>4</v>
      </c>
      <c r="C3" s="113">
        <v>2</v>
      </c>
      <c r="D3" s="114">
        <v>444942.41107162088</v>
      </c>
      <c r="E3" s="114">
        <v>166853.40415185783</v>
      </c>
      <c r="F3" s="115">
        <v>111235.60276790522</v>
      </c>
      <c r="G3" s="120">
        <v>83426.702075928915</v>
      </c>
    </row>
    <row r="4" spans="1:7" x14ac:dyDescent="0.2">
      <c r="A4" s="119" t="s">
        <v>29</v>
      </c>
      <c r="B4" s="113">
        <v>5</v>
      </c>
      <c r="C4" s="113">
        <v>1</v>
      </c>
      <c r="D4" s="114">
        <v>411684</v>
      </c>
      <c r="E4" s="114">
        <v>41912</v>
      </c>
      <c r="F4" s="115">
        <v>82336.800000000003</v>
      </c>
      <c r="G4" s="120">
        <v>41912</v>
      </c>
    </row>
    <row r="5" spans="1:7" x14ac:dyDescent="0.2">
      <c r="A5" s="119" t="s">
        <v>30</v>
      </c>
      <c r="B5" s="113">
        <v>5</v>
      </c>
      <c r="C5" s="113">
        <v>1</v>
      </c>
      <c r="D5" s="114">
        <v>411684</v>
      </c>
      <c r="E5" s="114">
        <v>41912</v>
      </c>
      <c r="F5" s="115">
        <v>82336.800000000003</v>
      </c>
      <c r="G5" s="120">
        <v>41912</v>
      </c>
    </row>
    <row r="6" spans="1:7" x14ac:dyDescent="0.2">
      <c r="A6" s="119" t="s">
        <v>25</v>
      </c>
      <c r="B6" s="113">
        <v>0</v>
      </c>
      <c r="C6" s="113">
        <v>2</v>
      </c>
      <c r="D6" s="114">
        <v>0</v>
      </c>
      <c r="E6" s="114">
        <v>200096</v>
      </c>
      <c r="F6" s="115" t="s">
        <v>76</v>
      </c>
      <c r="G6" s="120">
        <v>100048</v>
      </c>
    </row>
    <row r="7" spans="1:7" x14ac:dyDescent="0.2">
      <c r="A7" s="119" t="s">
        <v>36</v>
      </c>
      <c r="B7" s="113">
        <v>2</v>
      </c>
      <c r="C7" s="113">
        <v>2</v>
      </c>
      <c r="D7" s="114">
        <v>184777.71660323814</v>
      </c>
      <c r="E7" s="114">
        <v>184777.71660323814</v>
      </c>
      <c r="F7" s="115">
        <v>92388.858301619068</v>
      </c>
      <c r="G7" s="120">
        <v>92388.858301619068</v>
      </c>
    </row>
    <row r="8" spans="1:7" x14ac:dyDescent="0.2">
      <c r="A8" s="119" t="s">
        <v>34</v>
      </c>
      <c r="B8" s="113">
        <v>7</v>
      </c>
      <c r="C8" s="113">
        <v>3</v>
      </c>
      <c r="D8" s="114">
        <v>871988</v>
      </c>
      <c r="E8" s="114">
        <v>396552</v>
      </c>
      <c r="F8" s="115">
        <v>124569.71428571429</v>
      </c>
      <c r="G8" s="120">
        <v>132184</v>
      </c>
    </row>
    <row r="9" spans="1:7" x14ac:dyDescent="0.2">
      <c r="A9" s="119" t="s">
        <v>35</v>
      </c>
      <c r="B9" s="113">
        <v>6</v>
      </c>
      <c r="C9" s="113">
        <v>1</v>
      </c>
      <c r="D9" s="114">
        <v>833612</v>
      </c>
      <c r="E9" s="114">
        <v>219596</v>
      </c>
      <c r="F9" s="115">
        <v>138935.33333333334</v>
      </c>
      <c r="G9" s="120">
        <v>219596</v>
      </c>
    </row>
    <row r="10" spans="1:7" x14ac:dyDescent="0.2">
      <c r="A10" s="119" t="s">
        <v>23</v>
      </c>
      <c r="B10" s="113">
        <v>5</v>
      </c>
      <c r="C10" s="113">
        <v>1</v>
      </c>
      <c r="D10" s="114">
        <v>474993.45947323367</v>
      </c>
      <c r="E10" s="114">
        <v>84697.628918118775</v>
      </c>
      <c r="F10" s="115">
        <v>94998.691894646734</v>
      </c>
      <c r="G10" s="120">
        <v>84697.628918118775</v>
      </c>
    </row>
    <row r="11" spans="1:7" x14ac:dyDescent="0.2">
      <c r="A11" s="119" t="s">
        <v>27</v>
      </c>
      <c r="B11" s="113">
        <v>0</v>
      </c>
      <c r="C11" s="113">
        <v>1</v>
      </c>
      <c r="D11" s="114">
        <v>0</v>
      </c>
      <c r="E11" s="114">
        <v>49679.760792627931</v>
      </c>
      <c r="F11" s="115" t="s">
        <v>76</v>
      </c>
      <c r="G11" s="120">
        <v>49679.760792627931</v>
      </c>
    </row>
    <row r="12" spans="1:7" x14ac:dyDescent="0.2">
      <c r="A12" s="119" t="s">
        <v>24</v>
      </c>
      <c r="B12" s="113">
        <v>2</v>
      </c>
      <c r="C12" s="113">
        <v>1</v>
      </c>
      <c r="D12" s="114">
        <v>283109.55381703377</v>
      </c>
      <c r="E12" s="114">
        <v>140604.74484872818</v>
      </c>
      <c r="F12" s="115">
        <v>141554.77690851688</v>
      </c>
      <c r="G12" s="120">
        <v>140604.74484872818</v>
      </c>
    </row>
    <row r="13" spans="1:7" x14ac:dyDescent="0.2">
      <c r="A13" s="119" t="s">
        <v>32</v>
      </c>
      <c r="B13" s="113">
        <v>2</v>
      </c>
      <c r="C13" s="113">
        <v>1</v>
      </c>
      <c r="D13" s="114">
        <v>169839.74001991749</v>
      </c>
      <c r="E13" s="114">
        <v>84919.870009958744</v>
      </c>
      <c r="F13" s="115">
        <v>84919.870009958744</v>
      </c>
      <c r="G13" s="120">
        <v>84919.870009958744</v>
      </c>
    </row>
    <row r="14" spans="1:7" x14ac:dyDescent="0.2">
      <c r="A14" s="119" t="s">
        <v>26</v>
      </c>
      <c r="B14" s="113">
        <v>0</v>
      </c>
      <c r="C14" s="113">
        <v>2</v>
      </c>
      <c r="D14" s="114">
        <v>0</v>
      </c>
      <c r="E14" s="114">
        <v>86827.920550454408</v>
      </c>
      <c r="F14" s="115" t="s">
        <v>76</v>
      </c>
      <c r="G14" s="120">
        <v>43413.960275227204</v>
      </c>
    </row>
    <row r="15" spans="1:7" x14ac:dyDescent="0.2">
      <c r="A15" s="119" t="s">
        <v>33</v>
      </c>
      <c r="B15" s="113">
        <v>1</v>
      </c>
      <c r="C15" s="113">
        <v>1</v>
      </c>
      <c r="D15" s="114">
        <v>32923.648049123585</v>
      </c>
      <c r="E15" s="114">
        <v>65847.29609824717</v>
      </c>
      <c r="F15" s="115">
        <v>32923.648049123585</v>
      </c>
      <c r="G15" s="120">
        <v>65847.29609824717</v>
      </c>
    </row>
    <row r="16" spans="1:7" x14ac:dyDescent="0.2">
      <c r="A16" s="119" t="s">
        <v>37</v>
      </c>
      <c r="B16" s="113">
        <v>1</v>
      </c>
      <c r="C16" s="113">
        <v>1</v>
      </c>
      <c r="D16" s="114">
        <v>139568</v>
      </c>
      <c r="E16" s="114">
        <v>57200</v>
      </c>
      <c r="F16" s="115">
        <v>139568</v>
      </c>
      <c r="G16" s="120">
        <v>57200</v>
      </c>
    </row>
    <row r="17" spans="1:7" x14ac:dyDescent="0.2">
      <c r="A17" s="119" t="s">
        <v>38</v>
      </c>
      <c r="B17" s="113">
        <v>2</v>
      </c>
      <c r="C17" s="113">
        <v>2</v>
      </c>
      <c r="D17" s="114">
        <v>334776</v>
      </c>
      <c r="E17" s="114">
        <v>223184</v>
      </c>
      <c r="F17" s="115">
        <v>167388</v>
      </c>
      <c r="G17" s="120">
        <v>111592</v>
      </c>
    </row>
    <row r="18" spans="1:7" x14ac:dyDescent="0.2">
      <c r="A18" s="119" t="s">
        <v>39</v>
      </c>
      <c r="B18" s="113">
        <v>2</v>
      </c>
      <c r="C18" s="113">
        <v>2</v>
      </c>
      <c r="D18" s="114">
        <v>112840</v>
      </c>
      <c r="E18" s="114">
        <v>178360</v>
      </c>
      <c r="F18" s="115">
        <v>56420</v>
      </c>
      <c r="G18" s="120">
        <v>89180</v>
      </c>
    </row>
    <row r="19" spans="1:7" x14ac:dyDescent="0.2">
      <c r="A19" s="119" t="s">
        <v>40</v>
      </c>
      <c r="B19" s="113">
        <v>2</v>
      </c>
      <c r="C19" s="113">
        <v>2</v>
      </c>
      <c r="D19" s="114">
        <v>117676</v>
      </c>
      <c r="E19" s="114">
        <v>140452</v>
      </c>
      <c r="F19" s="115">
        <v>58838</v>
      </c>
      <c r="G19" s="120">
        <v>70226</v>
      </c>
    </row>
    <row r="20" spans="1:7" x14ac:dyDescent="0.2">
      <c r="A20" s="119" t="s">
        <v>41</v>
      </c>
      <c r="B20" s="113">
        <v>2</v>
      </c>
      <c r="C20" s="113">
        <v>0</v>
      </c>
      <c r="D20" s="114">
        <v>161616</v>
      </c>
      <c r="E20" s="114">
        <v>0</v>
      </c>
      <c r="F20" s="115">
        <v>80808</v>
      </c>
      <c r="G20" s="120" t="s">
        <v>76</v>
      </c>
    </row>
    <row r="21" spans="1:7" ht="13.5" thickBot="1" x14ac:dyDescent="0.25">
      <c r="A21" s="121"/>
      <c r="B21" s="122">
        <v>52</v>
      </c>
      <c r="C21" s="122">
        <v>26</v>
      </c>
      <c r="D21" s="123">
        <v>5460485.7352337828</v>
      </c>
      <c r="E21" s="123">
        <v>2363472.3419732312</v>
      </c>
      <c r="F21" s="124">
        <v>105009.34106218813</v>
      </c>
      <c r="G21" s="125">
        <v>90902.782383585814</v>
      </c>
    </row>
    <row r="22" spans="1:7" x14ac:dyDescent="0.2">
      <c r="B22" s="111"/>
      <c r="D22" s="112"/>
      <c r="E22" s="112"/>
      <c r="F22"/>
    </row>
  </sheetData>
  <pageMargins left="0.511811024" right="0.511811024" top="0.78740157499999996" bottom="0.78740157499999996" header="0.31496062000000002" footer="0.31496062000000002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D16" sqref="D16"/>
    </sheetView>
  </sheetViews>
  <sheetFormatPr defaultRowHeight="12.75" x14ac:dyDescent="0.2"/>
  <cols>
    <col min="1" max="1" width="15.28515625" bestFit="1" customWidth="1"/>
    <col min="2" max="2" width="28.140625" bestFit="1" customWidth="1"/>
    <col min="3" max="3" width="14.28515625" bestFit="1" customWidth="1"/>
    <col min="4" max="4" width="34.140625" bestFit="1" customWidth="1"/>
    <col min="5" max="5" width="18.42578125" bestFit="1" customWidth="1"/>
    <col min="6" max="6" width="24.42578125" bestFit="1" customWidth="1"/>
    <col min="7" max="7" width="13.140625" bestFit="1" customWidth="1"/>
    <col min="8" max="8" width="24.85546875" customWidth="1"/>
  </cols>
  <sheetData>
    <row r="1" spans="1:8" x14ac:dyDescent="0.2">
      <c r="A1" s="43"/>
      <c r="B1" s="43"/>
      <c r="C1" s="43"/>
      <c r="D1" s="43"/>
      <c r="E1" s="42"/>
      <c r="F1" s="42"/>
    </row>
    <row r="2" spans="1:8" x14ac:dyDescent="0.2">
      <c r="A2" s="51" t="s">
        <v>52</v>
      </c>
      <c r="B2" s="51" t="s">
        <v>53</v>
      </c>
      <c r="C2" s="51" t="s">
        <v>54</v>
      </c>
      <c r="D2" s="51" t="s">
        <v>55</v>
      </c>
      <c r="E2" s="66" t="s">
        <v>56</v>
      </c>
      <c r="F2" s="66" t="s">
        <v>57</v>
      </c>
      <c r="G2" s="68" t="s">
        <v>43</v>
      </c>
      <c r="H2" s="68" t="s">
        <v>57</v>
      </c>
    </row>
    <row r="3" spans="1:8" x14ac:dyDescent="0.2">
      <c r="A3" s="47"/>
      <c r="B3" s="46" t="s">
        <v>31</v>
      </c>
      <c r="C3" s="58"/>
      <c r="D3" s="46" t="s">
        <v>58</v>
      </c>
      <c r="E3" s="70" t="e">
        <f>VLOOKUP(B3,#REF!,11,0)</f>
        <v>#REF!</v>
      </c>
      <c r="F3" s="70" t="e">
        <f>ROUND(VLOOKUP(B3,#REF!,13,0),0)</f>
        <v>#REF!</v>
      </c>
      <c r="G3" s="69" t="e">
        <f>VLOOKUP(B3,#REF!,12,0)</f>
        <v>#REF!</v>
      </c>
      <c r="H3" s="69" t="e">
        <f>ROUND(VLOOKUP(B3,#REF!,14,0),0)</f>
        <v>#REF!</v>
      </c>
    </row>
    <row r="4" spans="1:8" x14ac:dyDescent="0.2">
      <c r="A4" s="47"/>
      <c r="B4" s="46" t="s">
        <v>28</v>
      </c>
      <c r="C4" s="59"/>
      <c r="D4" s="46" t="s">
        <v>59</v>
      </c>
      <c r="E4" s="70" t="e">
        <f>VLOOKUP(B4,#REF!,11,0)</f>
        <v>#REF!</v>
      </c>
      <c r="F4" s="70" t="e">
        <f>ROUND(VLOOKUP(B4,#REF!,13,0),0)</f>
        <v>#REF!</v>
      </c>
      <c r="G4" s="69" t="e">
        <f>VLOOKUP(B4,#REF!,12,0)</f>
        <v>#REF!</v>
      </c>
      <c r="H4" s="69" t="e">
        <f>ROUND(VLOOKUP(B4,#REF!,14,0),0)</f>
        <v>#REF!</v>
      </c>
    </row>
    <row r="5" spans="1:8" x14ac:dyDescent="0.2">
      <c r="A5" s="47"/>
      <c r="B5" s="46" t="s">
        <v>29</v>
      </c>
      <c r="C5" s="59"/>
      <c r="D5" s="46" t="s">
        <v>29</v>
      </c>
      <c r="E5" s="70" t="e">
        <f>VLOOKUP(B5,#REF!,11,0)</f>
        <v>#REF!</v>
      </c>
      <c r="F5" s="70" t="e">
        <f>ROUND(VLOOKUP(B5,#REF!,13,0),0)</f>
        <v>#REF!</v>
      </c>
      <c r="G5" s="69" t="e">
        <f>VLOOKUP(B5,#REF!,12,0)</f>
        <v>#REF!</v>
      </c>
      <c r="H5" s="69" t="e">
        <f>ROUND(VLOOKUP(B5,#REF!,14,0),0)</f>
        <v>#REF!</v>
      </c>
    </row>
    <row r="6" spans="1:8" x14ac:dyDescent="0.2">
      <c r="A6" s="47"/>
      <c r="B6" s="46" t="s">
        <v>30</v>
      </c>
      <c r="C6" s="59"/>
      <c r="D6" s="46" t="s">
        <v>30</v>
      </c>
      <c r="E6" s="70" t="e">
        <f>VLOOKUP(B6,#REF!,11,0)</f>
        <v>#REF!</v>
      </c>
      <c r="F6" s="70" t="e">
        <f>ROUND(VLOOKUP(B6,#REF!,13,0),0)</f>
        <v>#REF!</v>
      </c>
      <c r="G6" s="69" t="e">
        <f>VLOOKUP(B6,#REF!,12,0)</f>
        <v>#REF!</v>
      </c>
      <c r="H6" s="69" t="e">
        <f>ROUND(VLOOKUP(B6,#REF!,14,0),0)</f>
        <v>#REF!</v>
      </c>
    </row>
    <row r="7" spans="1:8" x14ac:dyDescent="0.2">
      <c r="A7" s="47"/>
      <c r="B7" s="46" t="s">
        <v>25</v>
      </c>
      <c r="C7" s="59"/>
      <c r="D7" s="46" t="s">
        <v>60</v>
      </c>
      <c r="E7" s="70" t="e">
        <f>VLOOKUP(B7,#REF!,11,0)</f>
        <v>#REF!</v>
      </c>
      <c r="F7" s="70" t="e">
        <f>ROUND(VLOOKUP(B7,#REF!,13,0),0)</f>
        <v>#REF!</v>
      </c>
      <c r="G7" s="69" t="e">
        <f>VLOOKUP(B7,#REF!,12,0)</f>
        <v>#REF!</v>
      </c>
      <c r="H7" s="69" t="e">
        <f>ROUND(VLOOKUP(B7,#REF!,14,0),0)</f>
        <v>#REF!</v>
      </c>
    </row>
    <row r="8" spans="1:8" x14ac:dyDescent="0.2">
      <c r="A8" s="47"/>
      <c r="B8" s="46" t="s">
        <v>36</v>
      </c>
      <c r="C8" s="59"/>
      <c r="D8" s="46" t="s">
        <v>61</v>
      </c>
      <c r="E8" s="70" t="e">
        <f>VLOOKUP(B8,#REF!,11,0)</f>
        <v>#REF!</v>
      </c>
      <c r="F8" s="70" t="e">
        <f>ROUND(VLOOKUP(B8,#REF!,13,0),0)</f>
        <v>#REF!</v>
      </c>
      <c r="G8" s="69" t="e">
        <f>VLOOKUP(B8,#REF!,12,0)</f>
        <v>#REF!</v>
      </c>
      <c r="H8" s="69" t="e">
        <f>ROUND(VLOOKUP(B8,#REF!,14,0),0)</f>
        <v>#REF!</v>
      </c>
    </row>
    <row r="9" spans="1:8" x14ac:dyDescent="0.2">
      <c r="A9" s="47"/>
      <c r="B9" s="46" t="s">
        <v>34</v>
      </c>
      <c r="C9" s="59"/>
      <c r="D9" s="46" t="s">
        <v>62</v>
      </c>
      <c r="E9" s="70" t="e">
        <f>VLOOKUP(B9,#REF!,11,0)</f>
        <v>#REF!</v>
      </c>
      <c r="F9" s="70" t="e">
        <f>ROUND(VLOOKUP(B9,#REF!,13,0),0)</f>
        <v>#REF!</v>
      </c>
      <c r="G9" s="69" t="e">
        <f>VLOOKUP(B9,#REF!,12,0)</f>
        <v>#REF!</v>
      </c>
      <c r="H9" s="69" t="e">
        <f>ROUND(VLOOKUP(B9,#REF!,14,0),0)</f>
        <v>#REF!</v>
      </c>
    </row>
    <row r="10" spans="1:8" x14ac:dyDescent="0.2">
      <c r="A10" s="47"/>
      <c r="B10" s="46" t="s">
        <v>35</v>
      </c>
      <c r="C10" s="59"/>
      <c r="D10" s="46" t="s">
        <v>63</v>
      </c>
      <c r="E10" s="70" t="e">
        <f>VLOOKUP(B10,#REF!,11,0)</f>
        <v>#REF!</v>
      </c>
      <c r="F10" s="70" t="e">
        <f>ROUND(VLOOKUP(B10,#REF!,13,0),0)</f>
        <v>#REF!</v>
      </c>
      <c r="G10" s="69" t="e">
        <f>VLOOKUP(B10,#REF!,12,0)</f>
        <v>#REF!</v>
      </c>
      <c r="H10" s="69" t="e">
        <f>ROUND(VLOOKUP(B10,#REF!,14,0),0)</f>
        <v>#REF!</v>
      </c>
    </row>
    <row r="11" spans="1:8" x14ac:dyDescent="0.2">
      <c r="A11" s="47"/>
      <c r="B11" s="46" t="s">
        <v>23</v>
      </c>
      <c r="C11" s="59"/>
      <c r="D11" s="46" t="s">
        <v>64</v>
      </c>
      <c r="E11" s="70" t="e">
        <f>VLOOKUP(B11,#REF!,11,0)</f>
        <v>#REF!</v>
      </c>
      <c r="F11" s="70" t="e">
        <f>ROUND(VLOOKUP(B11,#REF!,13,0),0)</f>
        <v>#REF!</v>
      </c>
      <c r="G11" s="69" t="e">
        <f>VLOOKUP(B11,#REF!,12,0)</f>
        <v>#REF!</v>
      </c>
      <c r="H11" s="69" t="e">
        <f>ROUND(VLOOKUP(B11,#REF!,14,0),0)</f>
        <v>#REF!</v>
      </c>
    </row>
    <row r="12" spans="1:8" x14ac:dyDescent="0.2">
      <c r="A12" s="47"/>
      <c r="B12" s="46" t="s">
        <v>27</v>
      </c>
      <c r="C12" s="59"/>
      <c r="D12" s="46" t="s">
        <v>65</v>
      </c>
      <c r="E12" s="70" t="e">
        <f>VLOOKUP(B12,#REF!,11,0)</f>
        <v>#REF!</v>
      </c>
      <c r="F12" s="70" t="e">
        <f>ROUND(VLOOKUP(B12,#REF!,13,0),0)</f>
        <v>#REF!</v>
      </c>
      <c r="G12" s="69" t="e">
        <f>VLOOKUP(B12,#REF!,12,0)</f>
        <v>#REF!</v>
      </c>
      <c r="H12" s="69" t="e">
        <f>ROUND(VLOOKUP(B12,#REF!,14,0),0)</f>
        <v>#REF!</v>
      </c>
    </row>
    <row r="13" spans="1:8" x14ac:dyDescent="0.2">
      <c r="A13" s="47"/>
      <c r="B13" s="46" t="s">
        <v>24</v>
      </c>
      <c r="C13" s="59"/>
      <c r="D13" s="46" t="s">
        <v>66</v>
      </c>
      <c r="E13" s="70" t="e">
        <f>VLOOKUP(B13,#REF!,11,0)</f>
        <v>#REF!</v>
      </c>
      <c r="F13" s="70" t="e">
        <f>ROUND(VLOOKUP(B13,#REF!,13,0),0)</f>
        <v>#REF!</v>
      </c>
      <c r="G13" s="69" t="e">
        <f>VLOOKUP(B13,#REF!,12,0)</f>
        <v>#REF!</v>
      </c>
      <c r="H13" s="69" t="e">
        <f>ROUND(VLOOKUP(B13,#REF!,14,0),0)</f>
        <v>#REF!</v>
      </c>
    </row>
    <row r="14" spans="1:8" x14ac:dyDescent="0.2">
      <c r="A14" s="47"/>
      <c r="B14" s="46" t="s">
        <v>32</v>
      </c>
      <c r="C14" s="59"/>
      <c r="D14" s="46" t="s">
        <v>67</v>
      </c>
      <c r="E14" s="70" t="e">
        <f>VLOOKUP(B14,#REF!,11,0)</f>
        <v>#REF!</v>
      </c>
      <c r="F14" s="70" t="e">
        <f>ROUND(VLOOKUP(B14,#REF!,13,0),0)</f>
        <v>#REF!</v>
      </c>
      <c r="G14" s="69" t="e">
        <f>VLOOKUP(B14,#REF!,12,0)</f>
        <v>#REF!</v>
      </c>
      <c r="H14" s="69" t="e">
        <f>ROUND(VLOOKUP(B14,#REF!,14,0),0)</f>
        <v>#REF!</v>
      </c>
    </row>
    <row r="15" spans="1:8" x14ac:dyDescent="0.2">
      <c r="A15" s="47"/>
      <c r="B15" s="46" t="s">
        <v>26</v>
      </c>
      <c r="C15" s="59"/>
      <c r="D15" s="46" t="s">
        <v>68</v>
      </c>
      <c r="E15" s="70" t="e">
        <f>VLOOKUP(B15,#REF!,11,0)</f>
        <v>#REF!</v>
      </c>
      <c r="F15" s="70" t="e">
        <f>ROUND(VLOOKUP(B15,#REF!,13,0),0)</f>
        <v>#REF!</v>
      </c>
      <c r="G15" s="69" t="e">
        <f>VLOOKUP(B15,#REF!,12,0)</f>
        <v>#REF!</v>
      </c>
      <c r="H15" s="69" t="e">
        <f>ROUND(VLOOKUP(B15,#REF!,14,0),0)</f>
        <v>#REF!</v>
      </c>
    </row>
    <row r="16" spans="1:8" x14ac:dyDescent="0.2">
      <c r="A16" s="47"/>
      <c r="B16" s="46" t="s">
        <v>33</v>
      </c>
      <c r="C16" s="59"/>
      <c r="D16" s="46" t="s">
        <v>69</v>
      </c>
      <c r="E16" s="70" t="e">
        <f>VLOOKUP(B16,#REF!,11,0)</f>
        <v>#REF!</v>
      </c>
      <c r="F16" s="70" t="e">
        <f>ROUND(VLOOKUP(B16,#REF!,13,0),0)</f>
        <v>#REF!</v>
      </c>
      <c r="G16" s="69" t="e">
        <f>VLOOKUP(B16,#REF!,12,0)</f>
        <v>#REF!</v>
      </c>
      <c r="H16" s="69" t="e">
        <f>ROUND(VLOOKUP(B16,#REF!,14,0),0)</f>
        <v>#REF!</v>
      </c>
    </row>
    <row r="17" spans="1:8" x14ac:dyDescent="0.2">
      <c r="A17" s="49"/>
      <c r="B17" s="46" t="s">
        <v>37</v>
      </c>
      <c r="C17" s="59"/>
      <c r="D17" s="46" t="s">
        <v>70</v>
      </c>
      <c r="E17" s="70" t="e">
        <f>VLOOKUP(B17,#REF!,11,0)</f>
        <v>#REF!</v>
      </c>
      <c r="F17" s="70" t="e">
        <f>ROUND(VLOOKUP(B17,#REF!,13,0),0)</f>
        <v>#REF!</v>
      </c>
      <c r="G17" s="69" t="e">
        <f>VLOOKUP(B17,#REF!,12,0)</f>
        <v>#REF!</v>
      </c>
      <c r="H17" s="69" t="e">
        <f>ROUND(VLOOKUP(B17,#REF!,14,0),0)</f>
        <v>#REF!</v>
      </c>
    </row>
    <row r="18" spans="1:8" x14ac:dyDescent="0.2">
      <c r="A18" s="49"/>
      <c r="B18" s="46" t="s">
        <v>38</v>
      </c>
      <c r="C18" s="59"/>
      <c r="D18" s="46" t="s">
        <v>71</v>
      </c>
      <c r="E18" s="70" t="e">
        <f>VLOOKUP(B18,#REF!,11,0)</f>
        <v>#REF!</v>
      </c>
      <c r="F18" s="70" t="e">
        <f>ROUND(VLOOKUP(B18,#REF!,13,0),0)</f>
        <v>#REF!</v>
      </c>
      <c r="G18" s="69" t="e">
        <f>VLOOKUP(B18,#REF!,12,0)</f>
        <v>#REF!</v>
      </c>
      <c r="H18" s="69" t="e">
        <f>ROUND(VLOOKUP(B18,#REF!,14,0),0)</f>
        <v>#REF!</v>
      </c>
    </row>
    <row r="19" spans="1:8" x14ac:dyDescent="0.2">
      <c r="A19" s="49"/>
      <c r="B19" s="46" t="s">
        <v>39</v>
      </c>
      <c r="C19" s="59"/>
      <c r="D19" s="46" t="s">
        <v>72</v>
      </c>
      <c r="E19" s="70" t="e">
        <f>VLOOKUP(B19,#REF!,11,0)</f>
        <v>#REF!</v>
      </c>
      <c r="F19" s="70" t="e">
        <f>ROUND(VLOOKUP(B19,#REF!,13,0),0)</f>
        <v>#REF!</v>
      </c>
      <c r="G19" s="69" t="e">
        <f>VLOOKUP(B19,#REF!,12,0)</f>
        <v>#REF!</v>
      </c>
      <c r="H19" s="69" t="e">
        <f>ROUND(VLOOKUP(B19,#REF!,14,0),0)</f>
        <v>#REF!</v>
      </c>
    </row>
    <row r="20" spans="1:8" x14ac:dyDescent="0.2">
      <c r="A20" s="49"/>
      <c r="B20" s="46" t="s">
        <v>40</v>
      </c>
      <c r="C20" s="59"/>
      <c r="D20" s="46" t="s">
        <v>73</v>
      </c>
      <c r="E20" s="70" t="e">
        <f>VLOOKUP(B20,#REF!,11,0)</f>
        <v>#REF!</v>
      </c>
      <c r="F20" s="70" t="e">
        <f>ROUND(VLOOKUP(B20,#REF!,13,0),0)</f>
        <v>#REF!</v>
      </c>
      <c r="G20" s="69" t="e">
        <f>VLOOKUP(B20,#REF!,12,0)</f>
        <v>#REF!</v>
      </c>
      <c r="H20" s="69" t="e">
        <f>ROUND(VLOOKUP(B20,#REF!,14,0),0)</f>
        <v>#REF!</v>
      </c>
    </row>
    <row r="21" spans="1:8" x14ac:dyDescent="0.2">
      <c r="A21" s="49"/>
      <c r="B21" s="46" t="s">
        <v>41</v>
      </c>
      <c r="C21" s="59"/>
      <c r="D21" s="46" t="s">
        <v>74</v>
      </c>
      <c r="E21" s="70" t="e">
        <f>VLOOKUP(B21,#REF!,11,0)</f>
        <v>#REF!</v>
      </c>
      <c r="F21" s="70" t="e">
        <f>ROUND(VLOOKUP(B21,#REF!,13,0),0)</f>
        <v>#REF!</v>
      </c>
      <c r="G21" s="69" t="e">
        <f>VLOOKUP(B21,#REF!,12,0)</f>
        <v>#REF!</v>
      </c>
      <c r="H21" s="69" t="e">
        <f>ROUND(VLOOKUP(B21,#REF!,14,0),0)</f>
        <v>#REF!</v>
      </c>
    </row>
    <row r="22" spans="1:8" x14ac:dyDescent="0.2">
      <c r="E22" s="67" t="e">
        <f>SUM(E3:E21)</f>
        <v>#REF!</v>
      </c>
      <c r="F22" s="67" t="e">
        <f>SUM(F3:F21)</f>
        <v>#REF!</v>
      </c>
      <c r="G22" s="69" t="e">
        <f>SUM(G3:G21)</f>
        <v>#REF!</v>
      </c>
      <c r="H22" s="69" t="e">
        <f>SUM(H3:H21)</f>
        <v>#REF!</v>
      </c>
    </row>
    <row r="24" spans="1:8" x14ac:dyDescent="0.2">
      <c r="A24" s="51"/>
      <c r="B24" s="51"/>
      <c r="C24" s="51"/>
      <c r="D24" s="51"/>
      <c r="E24" s="51"/>
      <c r="F24" s="51"/>
    </row>
    <row r="25" spans="1:8" x14ac:dyDescent="0.2">
      <c r="A25" s="47"/>
      <c r="B25" s="46"/>
      <c r="C25" s="58"/>
      <c r="D25" s="46"/>
      <c r="E25" s="47"/>
      <c r="F25" s="47"/>
    </row>
    <row r="26" spans="1:8" x14ac:dyDescent="0.2">
      <c r="A26" s="47"/>
      <c r="B26" s="46"/>
      <c r="C26" s="59"/>
      <c r="D26" s="46"/>
      <c r="E26" s="47"/>
      <c r="F26" s="47"/>
    </row>
    <row r="32" spans="1:8" ht="25.5" x14ac:dyDescent="0.2">
      <c r="D32" s="63" t="s">
        <v>75</v>
      </c>
      <c r="E32" s="63" t="s">
        <v>42</v>
      </c>
      <c r="F32" s="65" t="s">
        <v>50</v>
      </c>
      <c r="G32" s="60" t="s">
        <v>43</v>
      </c>
      <c r="H32" s="65" t="s">
        <v>51</v>
      </c>
    </row>
    <row r="33" spans="4:8" ht="16.5" customHeight="1" x14ac:dyDescent="0.2">
      <c r="D33" s="64" t="s">
        <v>58</v>
      </c>
      <c r="E33" s="60">
        <v>2</v>
      </c>
      <c r="F33" s="60">
        <v>54</v>
      </c>
      <c r="G33" s="60">
        <v>3</v>
      </c>
      <c r="H33" s="60">
        <v>66</v>
      </c>
    </row>
    <row r="34" spans="4:8" ht="16.5" customHeight="1" x14ac:dyDescent="0.2">
      <c r="D34" s="64" t="s">
        <v>59</v>
      </c>
      <c r="E34" s="60">
        <v>5</v>
      </c>
      <c r="F34" s="60">
        <v>264</v>
      </c>
      <c r="G34" s="60">
        <v>2</v>
      </c>
      <c r="H34" s="60">
        <v>96</v>
      </c>
    </row>
    <row r="35" spans="4:8" ht="16.5" customHeight="1" x14ac:dyDescent="0.2">
      <c r="D35" s="64" t="s">
        <v>70</v>
      </c>
      <c r="E35" s="60">
        <v>1</v>
      </c>
      <c r="F35" s="60">
        <v>148</v>
      </c>
      <c r="G35" s="60">
        <v>1</v>
      </c>
      <c r="H35" s="60">
        <v>197</v>
      </c>
    </row>
    <row r="36" spans="4:8" ht="16.5" customHeight="1" x14ac:dyDescent="0.2">
      <c r="D36" s="64" t="s">
        <v>29</v>
      </c>
      <c r="E36" s="60">
        <v>4</v>
      </c>
      <c r="F36" s="60">
        <v>732</v>
      </c>
      <c r="G36" s="60">
        <v>2</v>
      </c>
      <c r="H36" s="60">
        <v>363</v>
      </c>
    </row>
    <row r="37" spans="4:8" ht="16.5" customHeight="1" x14ac:dyDescent="0.2">
      <c r="D37" s="64" t="s">
        <v>30</v>
      </c>
      <c r="E37" s="60">
        <v>4</v>
      </c>
      <c r="F37" s="60">
        <v>738</v>
      </c>
      <c r="G37" s="60">
        <v>2</v>
      </c>
      <c r="H37" s="60">
        <v>375</v>
      </c>
    </row>
    <row r="38" spans="4:8" ht="16.5" customHeight="1" x14ac:dyDescent="0.2">
      <c r="D38" s="64" t="s">
        <v>71</v>
      </c>
      <c r="E38" s="60">
        <v>3</v>
      </c>
      <c r="F38" s="60">
        <v>148</v>
      </c>
      <c r="G38" s="60">
        <v>2</v>
      </c>
      <c r="H38" s="60">
        <v>98</v>
      </c>
    </row>
    <row r="39" spans="4:8" ht="16.5" customHeight="1" x14ac:dyDescent="0.2">
      <c r="D39" s="64" t="s">
        <v>60</v>
      </c>
      <c r="E39" s="63" t="s">
        <v>76</v>
      </c>
      <c r="F39" s="63" t="s">
        <v>76</v>
      </c>
      <c r="G39" s="60">
        <v>4</v>
      </c>
      <c r="H39" s="60">
        <v>50</v>
      </c>
    </row>
    <row r="40" spans="4:8" ht="16.5" customHeight="1" x14ac:dyDescent="0.2">
      <c r="D40" s="64" t="s">
        <v>73</v>
      </c>
      <c r="E40" s="60">
        <v>2</v>
      </c>
      <c r="F40" s="60">
        <v>31</v>
      </c>
      <c r="G40" s="60">
        <v>3</v>
      </c>
      <c r="H40" s="60">
        <v>49</v>
      </c>
    </row>
    <row r="41" spans="4:8" ht="16.5" customHeight="1" x14ac:dyDescent="0.2">
      <c r="D41" s="64" t="s">
        <v>61</v>
      </c>
      <c r="E41" s="63" t="s">
        <v>76</v>
      </c>
      <c r="F41" s="63" t="s">
        <v>76</v>
      </c>
      <c r="G41" s="60">
        <v>6</v>
      </c>
      <c r="H41" s="60">
        <v>99</v>
      </c>
    </row>
    <row r="42" spans="4:8" ht="16.5" customHeight="1" x14ac:dyDescent="0.2">
      <c r="D42" s="64" t="s">
        <v>72</v>
      </c>
      <c r="E42" s="60">
        <v>2</v>
      </c>
      <c r="F42" s="60">
        <v>37</v>
      </c>
      <c r="G42" s="60">
        <v>3</v>
      </c>
      <c r="H42" s="60">
        <v>49</v>
      </c>
    </row>
    <row r="43" spans="4:8" ht="16.5" customHeight="1" x14ac:dyDescent="0.2">
      <c r="D43" s="64" t="s">
        <v>74</v>
      </c>
      <c r="E43" s="60">
        <v>2</v>
      </c>
      <c r="F43" s="60">
        <v>37</v>
      </c>
      <c r="G43" s="60">
        <v>2</v>
      </c>
      <c r="H43" s="60">
        <v>49</v>
      </c>
    </row>
    <row r="44" spans="4:8" ht="16.5" customHeight="1" x14ac:dyDescent="0.2">
      <c r="D44" s="64" t="s">
        <v>62</v>
      </c>
      <c r="E44" s="60">
        <v>6</v>
      </c>
      <c r="F44" s="60">
        <v>409</v>
      </c>
      <c r="G44" s="60">
        <v>4</v>
      </c>
      <c r="H44" s="60">
        <v>279</v>
      </c>
    </row>
    <row r="45" spans="4:8" ht="16.5" customHeight="1" x14ac:dyDescent="0.2">
      <c r="D45" s="64" t="s">
        <v>63</v>
      </c>
      <c r="E45" s="60">
        <v>8</v>
      </c>
      <c r="F45" s="60">
        <v>409</v>
      </c>
      <c r="G45" s="60">
        <v>4</v>
      </c>
      <c r="H45" s="60">
        <v>201</v>
      </c>
    </row>
    <row r="46" spans="4:8" ht="16.5" customHeight="1" x14ac:dyDescent="0.2">
      <c r="D46" s="64" t="s">
        <v>64</v>
      </c>
      <c r="E46" s="60">
        <v>4</v>
      </c>
      <c r="F46" s="60">
        <v>434</v>
      </c>
      <c r="G46" s="60">
        <v>3</v>
      </c>
      <c r="H46" s="60">
        <v>347</v>
      </c>
    </row>
    <row r="47" spans="4:8" ht="16.5" customHeight="1" x14ac:dyDescent="0.2">
      <c r="D47" s="64" t="s">
        <v>65</v>
      </c>
      <c r="E47" s="63" t="s">
        <v>76</v>
      </c>
      <c r="F47" s="63" t="s">
        <v>76</v>
      </c>
      <c r="G47" s="60">
        <v>1</v>
      </c>
      <c r="H47" s="60">
        <v>50</v>
      </c>
    </row>
    <row r="48" spans="4:8" ht="16.5" customHeight="1" x14ac:dyDescent="0.2">
      <c r="D48" s="64" t="s">
        <v>66</v>
      </c>
      <c r="E48" s="60">
        <v>4</v>
      </c>
      <c r="F48" s="60">
        <v>254</v>
      </c>
      <c r="G48" s="60">
        <v>2</v>
      </c>
      <c r="H48" s="60">
        <v>99</v>
      </c>
    </row>
    <row r="49" spans="4:8" ht="16.5" customHeight="1" x14ac:dyDescent="0.2">
      <c r="D49" s="64" t="s">
        <v>67</v>
      </c>
      <c r="E49" s="60">
        <v>1</v>
      </c>
      <c r="F49" s="60">
        <v>124</v>
      </c>
      <c r="G49" s="60">
        <v>1</v>
      </c>
      <c r="H49" s="60">
        <v>99</v>
      </c>
    </row>
    <row r="50" spans="4:8" ht="16.5" customHeight="1" x14ac:dyDescent="0.2">
      <c r="D50" s="64" t="s">
        <v>68</v>
      </c>
      <c r="E50" s="63" t="s">
        <v>76</v>
      </c>
      <c r="F50" s="63" t="s">
        <v>76</v>
      </c>
      <c r="G50" s="60">
        <v>2</v>
      </c>
      <c r="H50" s="60">
        <v>50</v>
      </c>
    </row>
    <row r="51" spans="4:8" ht="16.5" customHeight="1" x14ac:dyDescent="0.2">
      <c r="D51" s="64" t="s">
        <v>69</v>
      </c>
      <c r="E51" s="63" t="s">
        <v>76</v>
      </c>
      <c r="F51" s="63" t="s">
        <v>76</v>
      </c>
      <c r="G51" s="60">
        <v>2</v>
      </c>
      <c r="H51" s="60">
        <v>111</v>
      </c>
    </row>
    <row r="52" spans="4:8" ht="16.5" customHeight="1" x14ac:dyDescent="0.2">
      <c r="D52" s="62" t="s">
        <v>77</v>
      </c>
      <c r="E52" s="61">
        <f>SUBTOTAL(109,E33:E51)</f>
        <v>48</v>
      </c>
      <c r="F52" s="61">
        <f>SUBTOTAL(109,F33:F51)</f>
        <v>3819</v>
      </c>
      <c r="G52" s="61">
        <f>SUBTOTAL(109,G33:G51)</f>
        <v>49</v>
      </c>
      <c r="H52" s="61">
        <f>SUBTOTAL(109,H33:H51)</f>
        <v>2727</v>
      </c>
    </row>
  </sheetData>
  <conditionalFormatting sqref="A25:F26 A3:F21">
    <cfRule type="expression" dxfId="7" priority="4" stopIfTrue="1">
      <formula>$E3=0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Bacia 03</vt:lpstr>
      <vt:lpstr>Frota 03</vt:lpstr>
      <vt:lpstr>Resumo</vt:lpstr>
      <vt:lpstr>Linhas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CONCREMAT</dc:creator>
  <cp:lastModifiedBy>helio.souza</cp:lastModifiedBy>
  <cp:lastPrinted>2014-07-06T00:33:45Z</cp:lastPrinted>
  <dcterms:created xsi:type="dcterms:W3CDTF">2012-02-23T16:57:50Z</dcterms:created>
  <dcterms:modified xsi:type="dcterms:W3CDTF">2014-09-11T20:22:46Z</dcterms:modified>
</cp:coreProperties>
</file>